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Новий фінплан\2021\2021\"/>
    </mc:Choice>
  </mc:AlternateContent>
  <bookViews>
    <workbookView xWindow="0" yWindow="0" windowWidth="11604" windowHeight="8760" tabRatio="915" firstSheet="3" activeTab="10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ІІІ. Рух грош. коштів" sheetId="18" r:id="rId5"/>
    <sheet name="Розшифровка до Руху" sheetId="22" r:id="rId6"/>
    <sheet name="IV. Кап. інвестиції" sheetId="3" r:id="rId7"/>
    <sheet name="Розшифровка до капівидатків" sheetId="23" r:id="rId8"/>
    <sheet name=" V. Коефіцієнти" sheetId="11" r:id="rId9"/>
    <sheet name="6.1. Інша інфо_1" sheetId="10" r:id="rId10"/>
    <sheet name="6.2. Інша інфо_2" sheetId="9" r:id="rId11"/>
    <sheet name="VII Статутн. капіт" sheetId="20" r:id="rId12"/>
    <sheet name="Розшифровка до Статутного" sheetId="2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_xlnm._FilterDatabase" localSheetId="7" hidden="1">'Розшифровка до капівидатків'!$A$8:$G$9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8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пок.'!$21:$23</definedName>
    <definedName name="_xlnm.Print_Titles" localSheetId="7">'Розшифровка до капівидатків'!$4:$5</definedName>
    <definedName name="_xlnm.Print_Titles" localSheetId="5">'Розшифровка до Руху'!$4:$5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Коефіцієнти'!$A$1:$H$24</definedName>
    <definedName name="_xlnm.Print_Area" localSheetId="9">'6.1. Інша інфо_1'!$A$1:$O$75</definedName>
    <definedName name="_xlnm.Print_Area" localSheetId="10">'6.2. Інша інфо_2'!$A$1:$AF$98</definedName>
    <definedName name="_xlnm.Print_Area" localSheetId="1">'I. Фін результат'!$A$1:$I$99</definedName>
    <definedName name="_xlnm.Print_Area" localSheetId="6">'IV. Кап. інвестиції'!$A$1:$H$18</definedName>
    <definedName name="_xlnm.Print_Area" localSheetId="11">'VII Статутн. капіт'!$A$1:$H$17</definedName>
    <definedName name="_xlnm.Print_Area" localSheetId="3">'ІІ. Розр. з бюджетом'!$A$1:$H$49</definedName>
    <definedName name="_xlnm.Print_Area" localSheetId="4">'ІІІ. Рух грош. коштів'!$A$1:$H$72</definedName>
    <definedName name="_xlnm.Print_Area" localSheetId="0">'Осн. фін. пок.'!$A$1:$H$131</definedName>
    <definedName name="_xlnm.Print_Area" localSheetId="7">'Розшифровка до капівидатків'!$A$1:$G$82</definedName>
    <definedName name="_xlnm.Print_Area" localSheetId="5">'Розшифровка до Руху'!$A$1:$H$160</definedName>
    <definedName name="_xlnm.Print_Area" localSheetId="12">'Розшифровка до Статутного'!$A$1:$G$31</definedName>
    <definedName name="_xlnm.Print_Area" localSheetId="2">'Розшифровка фінрезультати'!$A$1:$G$108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fileRecoveryPr autoRecover="0"/>
</workbook>
</file>

<file path=xl/calcChain.xml><?xml version="1.0" encoding="utf-8"?>
<calcChain xmlns="http://schemas.openxmlformats.org/spreadsheetml/2006/main">
  <c r="E78" i="2" l="1"/>
  <c r="F76" i="21"/>
  <c r="H109" i="14" l="1"/>
  <c r="H110" i="14"/>
  <c r="H111" i="14"/>
  <c r="H114" i="14"/>
  <c r="H115" i="14"/>
  <c r="H116" i="14"/>
  <c r="E56" i="23" l="1"/>
  <c r="D10" i="23"/>
  <c r="E10" i="23"/>
  <c r="E10" i="24" l="1"/>
  <c r="E7" i="21" l="1"/>
  <c r="F116" i="14" l="1"/>
  <c r="D113" i="14"/>
  <c r="F65" i="10" l="1"/>
  <c r="H65" i="10"/>
  <c r="J65" i="10"/>
  <c r="L65" i="10"/>
  <c r="N65" i="10" s="1"/>
  <c r="D65" i="10"/>
  <c r="N64" i="10"/>
  <c r="N68" i="10"/>
  <c r="N63" i="10"/>
  <c r="F115" i="14" l="1"/>
  <c r="F114" i="14"/>
  <c r="F111" i="14"/>
  <c r="F110" i="14"/>
  <c r="F101" i="14"/>
  <c r="F102" i="14"/>
  <c r="F100" i="14"/>
  <c r="F96" i="14"/>
  <c r="F97" i="14"/>
  <c r="F98" i="14"/>
  <c r="F95" i="14"/>
  <c r="F93" i="14"/>
  <c r="F20" i="24" l="1"/>
  <c r="G20" i="24"/>
  <c r="F21" i="24"/>
  <c r="X12" i="9"/>
  <c r="AD11" i="9"/>
  <c r="AC42" i="9" l="1"/>
  <c r="AD42" i="9"/>
  <c r="U12" i="9"/>
  <c r="R33" i="9" l="1"/>
  <c r="AC56" i="9"/>
  <c r="AD56" i="9"/>
  <c r="AC55" i="9"/>
  <c r="U49" i="9"/>
  <c r="M49" i="9"/>
  <c r="Z45" i="9"/>
  <c r="Y45" i="9"/>
  <c r="V45" i="9"/>
  <c r="U45" i="9"/>
  <c r="R45" i="9"/>
  <c r="Q45" i="9"/>
  <c r="N45" i="9"/>
  <c r="M45" i="9"/>
  <c r="M43" i="9"/>
  <c r="M33" i="9"/>
  <c r="M57" i="9" s="1"/>
  <c r="S47" i="9"/>
  <c r="S48" i="9"/>
  <c r="O47" i="9"/>
  <c r="O48" i="9"/>
  <c r="W47" i="9"/>
  <c r="W48" i="9"/>
  <c r="AA47" i="9"/>
  <c r="AA48" i="9"/>
  <c r="AE42" i="9"/>
  <c r="AA42" i="9"/>
  <c r="AA41" i="9"/>
  <c r="AA40" i="9"/>
  <c r="AA39" i="9"/>
  <c r="AA38" i="9"/>
  <c r="AA37" i="9"/>
  <c r="AA36" i="9"/>
  <c r="AA35" i="9"/>
  <c r="AA34" i="9"/>
  <c r="W42" i="9"/>
  <c r="W41" i="9"/>
  <c r="W40" i="9"/>
  <c r="X39" i="9"/>
  <c r="W39" i="9"/>
  <c r="W38" i="9"/>
  <c r="X37" i="9"/>
  <c r="W37" i="9"/>
  <c r="W36" i="9"/>
  <c r="W35" i="9"/>
  <c r="W34" i="9"/>
  <c r="S42" i="9"/>
  <c r="S41" i="9"/>
  <c r="S40" i="9"/>
  <c r="S39" i="9"/>
  <c r="T38" i="9"/>
  <c r="S38" i="9"/>
  <c r="S37" i="9"/>
  <c r="S36" i="9"/>
  <c r="S35" i="9"/>
  <c r="S34" i="9"/>
  <c r="O38" i="9"/>
  <c r="O39" i="9"/>
  <c r="O40" i="9"/>
  <c r="O41" i="9"/>
  <c r="O42" i="9"/>
  <c r="O34" i="9"/>
  <c r="O35" i="9"/>
  <c r="O36" i="9"/>
  <c r="AA32" i="9"/>
  <c r="W32" i="9"/>
  <c r="S32" i="9"/>
  <c r="O32" i="9"/>
  <c r="AC32" i="9"/>
  <c r="AD32" i="9"/>
  <c r="Z31" i="9"/>
  <c r="Y31" i="9"/>
  <c r="V31" i="9"/>
  <c r="U31" i="9"/>
  <c r="R31" i="9"/>
  <c r="Q31" i="9"/>
  <c r="N31" i="9"/>
  <c r="AD31" i="9" s="1"/>
  <c r="M31" i="9"/>
  <c r="AD44" i="9"/>
  <c r="AC44" i="9"/>
  <c r="AA44" i="9"/>
  <c r="AA43" i="9" s="1"/>
  <c r="X44" i="9"/>
  <c r="W44" i="9"/>
  <c r="W43" i="9" s="1"/>
  <c r="T44" i="9"/>
  <c r="Z43" i="9"/>
  <c r="Y43" i="9"/>
  <c r="V43" i="9"/>
  <c r="U43" i="9"/>
  <c r="S43" i="9"/>
  <c r="R43" i="9"/>
  <c r="Q43" i="9"/>
  <c r="O43" i="9"/>
  <c r="N43" i="9"/>
  <c r="AC31" i="9"/>
  <c r="AC47" i="9"/>
  <c r="AD47" i="9"/>
  <c r="AC48" i="9"/>
  <c r="AD48" i="9"/>
  <c r="Z33" i="9"/>
  <c r="Y33" i="9"/>
  <c r="V33" i="9"/>
  <c r="U33" i="9"/>
  <c r="Q33" i="9"/>
  <c r="N33" i="9"/>
  <c r="AC40" i="9"/>
  <c r="AC41" i="9"/>
  <c r="AD40" i="9"/>
  <c r="AD41" i="9"/>
  <c r="AD36" i="9"/>
  <c r="AE36" i="9" s="1"/>
  <c r="AC35" i="9"/>
  <c r="AD35" i="9"/>
  <c r="AC34" i="9"/>
  <c r="AD34" i="9"/>
  <c r="AE32" i="9" l="1"/>
  <c r="AE56" i="9"/>
  <c r="AC43" i="9"/>
  <c r="AE34" i="9"/>
  <c r="AE44" i="9"/>
  <c r="AE48" i="9"/>
  <c r="U57" i="9"/>
  <c r="AF56" i="9"/>
  <c r="AE31" i="9"/>
  <c r="AE41" i="9"/>
  <c r="AE40" i="9"/>
  <c r="AE47" i="9"/>
  <c r="AD43" i="9"/>
  <c r="AE35" i="9"/>
  <c r="AE43" i="9" l="1"/>
  <c r="E7" i="23"/>
  <c r="F60" i="18" l="1"/>
  <c r="F61" i="18"/>
  <c r="F62" i="18"/>
  <c r="H55" i="18"/>
  <c r="F56" i="18"/>
  <c r="H56" i="18" s="1"/>
  <c r="F55" i="18"/>
  <c r="F44" i="18"/>
  <c r="F20" i="18"/>
  <c r="F22" i="18"/>
  <c r="F23" i="18"/>
  <c r="F24" i="18"/>
  <c r="F25" i="18"/>
  <c r="F26" i="18"/>
  <c r="F27" i="18"/>
  <c r="F28" i="18"/>
  <c r="F29" i="18"/>
  <c r="F30" i="18"/>
  <c r="F32" i="18"/>
  <c r="F19" i="18"/>
  <c r="F15" i="18"/>
  <c r="F16" i="18"/>
  <c r="F14" i="18"/>
  <c r="F9" i="18"/>
  <c r="D17" i="18"/>
  <c r="G67" i="21"/>
  <c r="G66" i="21"/>
  <c r="G63" i="21"/>
  <c r="G64" i="21"/>
  <c r="G65" i="21"/>
  <c r="G68" i="21"/>
  <c r="G47" i="21"/>
  <c r="G30" i="22"/>
  <c r="G10" i="22"/>
  <c r="F154" i="22"/>
  <c r="F151" i="22"/>
  <c r="F150" i="22" s="1"/>
  <c r="F18" i="22"/>
  <c r="F19" i="22"/>
  <c r="F13" i="22"/>
  <c r="F14" i="22"/>
  <c r="G14" i="22" s="1"/>
  <c r="F15" i="22"/>
  <c r="F16" i="22"/>
  <c r="F17" i="22"/>
  <c r="F12" i="22"/>
  <c r="G12" i="22" s="1"/>
  <c r="D40" i="19"/>
  <c r="G43" i="2"/>
  <c r="G44" i="2"/>
  <c r="H44" i="2"/>
  <c r="H43" i="2"/>
  <c r="H38" i="2"/>
  <c r="G38" i="2"/>
  <c r="G35" i="2"/>
  <c r="H23" i="2"/>
  <c r="G23" i="2"/>
  <c r="F91" i="2"/>
  <c r="F92" i="2"/>
  <c r="F93" i="2"/>
  <c r="F94" i="2"/>
  <c r="F90" i="2"/>
  <c r="F54" i="2"/>
  <c r="F55" i="2"/>
  <c r="F56" i="2"/>
  <c r="F57" i="2"/>
  <c r="F53" i="2"/>
  <c r="F50" i="2"/>
  <c r="F49" i="2"/>
  <c r="F42" i="2"/>
  <c r="F43" i="2"/>
  <c r="F44" i="2"/>
  <c r="F45" i="2"/>
  <c r="F46" i="2"/>
  <c r="G46" i="2" s="1"/>
  <c r="F41" i="2"/>
  <c r="F21" i="2"/>
  <c r="F22" i="2"/>
  <c r="F23" i="2"/>
  <c r="F24" i="2"/>
  <c r="F25" i="2"/>
  <c r="F26" i="2"/>
  <c r="F27" i="2"/>
  <c r="F28" i="2"/>
  <c r="F29" i="2"/>
  <c r="F30" i="2"/>
  <c r="G30" i="2" s="1"/>
  <c r="F31" i="2"/>
  <c r="G31" i="2" s="1"/>
  <c r="F32" i="2"/>
  <c r="F33" i="2"/>
  <c r="G33" i="2" s="1"/>
  <c r="F34" i="2"/>
  <c r="G34" i="2" s="1"/>
  <c r="F35" i="2"/>
  <c r="F36" i="2"/>
  <c r="G36" i="2" s="1"/>
  <c r="F37" i="2"/>
  <c r="F20" i="2"/>
  <c r="G20" i="2" s="1"/>
  <c r="F11" i="2"/>
  <c r="F12" i="2"/>
  <c r="F13" i="2"/>
  <c r="F14" i="2"/>
  <c r="F16" i="2"/>
  <c r="F10" i="2"/>
  <c r="F8" i="2"/>
  <c r="D39" i="2"/>
  <c r="F39" i="2" s="1"/>
  <c r="D15" i="2"/>
  <c r="F15" i="2" s="1"/>
  <c r="E94" i="21"/>
  <c r="H36" i="2" l="1"/>
  <c r="H46" i="2"/>
  <c r="E62" i="21"/>
  <c r="F40" i="18" l="1"/>
  <c r="AD7" i="9"/>
  <c r="AD8" i="9"/>
  <c r="AD9" i="9"/>
  <c r="AA7" i="9"/>
  <c r="AA8" i="9"/>
  <c r="AA9" i="9"/>
  <c r="AA10" i="9"/>
  <c r="AA56" i="9"/>
  <c r="AA55" i="9"/>
  <c r="AA54" i="9"/>
  <c r="AA53" i="9"/>
  <c r="AA52" i="9"/>
  <c r="AA51" i="9"/>
  <c r="AA50" i="9"/>
  <c r="AA46" i="9"/>
  <c r="X56" i="9"/>
  <c r="W56" i="9"/>
  <c r="X55" i="9"/>
  <c r="W55" i="9"/>
  <c r="X54" i="9"/>
  <c r="W54" i="9"/>
  <c r="X53" i="9"/>
  <c r="W53" i="9"/>
  <c r="X52" i="9"/>
  <c r="W52" i="9"/>
  <c r="X51" i="9"/>
  <c r="W51" i="9"/>
  <c r="X50" i="9"/>
  <c r="W50" i="9"/>
  <c r="W46" i="9"/>
  <c r="S56" i="9"/>
  <c r="S55" i="9"/>
  <c r="S54" i="9"/>
  <c r="S53" i="9"/>
  <c r="S52" i="9"/>
  <c r="S51" i="9"/>
  <c r="S50" i="9"/>
  <c r="T46" i="9"/>
  <c r="S46" i="9"/>
  <c r="O51" i="9"/>
  <c r="O52" i="9"/>
  <c r="O53" i="9"/>
  <c r="O54" i="9"/>
  <c r="O55" i="9"/>
  <c r="O56" i="9"/>
  <c r="O50" i="9"/>
  <c r="O46" i="9"/>
  <c r="O37" i="9"/>
  <c r="AD51" i="9"/>
  <c r="AD52" i="9"/>
  <c r="AD53" i="9"/>
  <c r="AD54" i="9"/>
  <c r="AD55" i="9"/>
  <c r="AD50" i="9"/>
  <c r="AD46" i="9"/>
  <c r="AD38" i="9"/>
  <c r="AD39" i="9"/>
  <c r="AD37" i="9"/>
  <c r="AD33" i="9" s="1"/>
  <c r="AC51" i="9"/>
  <c r="AC52" i="9"/>
  <c r="AC53" i="9"/>
  <c r="AC54" i="9"/>
  <c r="AC50" i="9"/>
  <c r="AC46" i="9"/>
  <c r="AC38" i="9"/>
  <c r="AC39" i="9"/>
  <c r="AC37" i="9"/>
  <c r="N49" i="9"/>
  <c r="N57" i="9" s="1"/>
  <c r="R49" i="9"/>
  <c r="R57" i="9" s="1"/>
  <c r="Q49" i="9"/>
  <c r="Q57" i="9" s="1"/>
  <c r="Z49" i="9"/>
  <c r="Z57" i="9" s="1"/>
  <c r="Y49" i="9"/>
  <c r="Y57" i="9" s="1"/>
  <c r="V49" i="9"/>
  <c r="V57" i="9" s="1"/>
  <c r="AC33" i="9" l="1"/>
  <c r="X49" i="9"/>
  <c r="AE46" i="9"/>
  <c r="AF37" i="9"/>
  <c r="AF38" i="9"/>
  <c r="AD49" i="9"/>
  <c r="AE50" i="9"/>
  <c r="AE54" i="9"/>
  <c r="AE52" i="9"/>
  <c r="AF55" i="9"/>
  <c r="AF53" i="9"/>
  <c r="AF51" i="9"/>
  <c r="T33" i="9"/>
  <c r="T45" i="9"/>
  <c r="AC45" i="9"/>
  <c r="AA45" i="9"/>
  <c r="AA49" i="9"/>
  <c r="S49" i="9"/>
  <c r="AC49" i="9"/>
  <c r="AE37" i="9"/>
  <c r="AE38" i="9"/>
  <c r="AF39" i="9"/>
  <c r="AF46" i="9"/>
  <c r="AF50" i="9"/>
  <c r="AF54" i="9"/>
  <c r="AF52" i="9"/>
  <c r="O33" i="9"/>
  <c r="O49" i="9"/>
  <c r="S33" i="9"/>
  <c r="S45" i="9"/>
  <c r="W49" i="9"/>
  <c r="AA33" i="9"/>
  <c r="AE39" i="9"/>
  <c r="AE51" i="9"/>
  <c r="AE53" i="9"/>
  <c r="AE55" i="9"/>
  <c r="O45" i="9"/>
  <c r="K54" i="10"/>
  <c r="O57" i="9" l="1"/>
  <c r="AC57" i="9"/>
  <c r="M58" i="9" s="1"/>
  <c r="AE49" i="9"/>
  <c r="AF49" i="9"/>
  <c r="AA57" i="9"/>
  <c r="T57" i="9"/>
  <c r="S57" i="9"/>
  <c r="X33" i="9" l="1"/>
  <c r="W33" i="9"/>
  <c r="W45" i="9"/>
  <c r="AD45" i="9"/>
  <c r="AD57" i="9" s="1"/>
  <c r="D40" i="10"/>
  <c r="D65" i="23"/>
  <c r="D56" i="23"/>
  <c r="E156" i="22"/>
  <c r="E155" i="22"/>
  <c r="E150" i="22"/>
  <c r="E153" i="22"/>
  <c r="E152" i="22"/>
  <c r="AF45" i="9" l="1"/>
  <c r="AE45" i="9"/>
  <c r="AF33" i="9"/>
  <c r="AE33" i="9"/>
  <c r="X57" i="9"/>
  <c r="W57" i="9"/>
  <c r="D94" i="21"/>
  <c r="D75" i="21"/>
  <c r="D62" i="21"/>
  <c r="E12" i="20" l="1"/>
  <c r="D12" i="20"/>
  <c r="C12" i="20"/>
  <c r="R12" i="9"/>
  <c r="U22" i="9"/>
  <c r="C56" i="23"/>
  <c r="C10" i="23"/>
  <c r="C9" i="3" s="1"/>
  <c r="C12" i="3"/>
  <c r="D9" i="3"/>
  <c r="D8" i="3"/>
  <c r="D67" i="23"/>
  <c r="E13" i="3" s="1"/>
  <c r="E67" i="23"/>
  <c r="D13" i="3" s="1"/>
  <c r="C67" i="23"/>
  <c r="C13" i="3" s="1"/>
  <c r="E12" i="3"/>
  <c r="G56" i="23"/>
  <c r="C57" i="18"/>
  <c r="E40" i="18"/>
  <c r="D40" i="18"/>
  <c r="C40" i="18"/>
  <c r="E63" i="18"/>
  <c r="D63" i="18"/>
  <c r="F63" i="18" s="1"/>
  <c r="D150" i="22"/>
  <c r="C63" i="18" s="1"/>
  <c r="E147" i="22"/>
  <c r="E57" i="18" s="1"/>
  <c r="F147" i="22"/>
  <c r="D57" i="18" s="1"/>
  <c r="F57" i="18" s="1"/>
  <c r="D147" i="22"/>
  <c r="E134" i="22"/>
  <c r="E50" i="18" s="1"/>
  <c r="F134" i="22"/>
  <c r="F50" i="18" s="1"/>
  <c r="D134" i="22"/>
  <c r="C50" i="18" s="1"/>
  <c r="E126" i="22"/>
  <c r="E49" i="18" s="1"/>
  <c r="F126" i="22"/>
  <c r="F49" i="18" s="1"/>
  <c r="D126" i="22"/>
  <c r="C49" i="18" s="1"/>
  <c r="E124" i="22"/>
  <c r="E48" i="18" s="1"/>
  <c r="F124" i="22"/>
  <c r="F48" i="18" s="1"/>
  <c r="D124" i="22"/>
  <c r="C48" i="18" s="1"/>
  <c r="E79" i="22"/>
  <c r="E46" i="18" s="1"/>
  <c r="F79" i="22"/>
  <c r="F46" i="18" s="1"/>
  <c r="D79" i="22"/>
  <c r="C46" i="18" s="1"/>
  <c r="E77" i="22"/>
  <c r="E45" i="18" s="1"/>
  <c r="F77" i="22"/>
  <c r="F45" i="18" s="1"/>
  <c r="D77" i="22"/>
  <c r="C45" i="18" s="1"/>
  <c r="D48" i="18" l="1"/>
  <c r="H57" i="18"/>
  <c r="H63" i="18"/>
  <c r="D12" i="3"/>
  <c r="D50" i="18"/>
  <c r="D45" i="18"/>
  <c r="D49" i="18"/>
  <c r="D46" i="18"/>
  <c r="D31" i="22"/>
  <c r="C33" i="18" s="1"/>
  <c r="E31" i="22"/>
  <c r="E33" i="18" s="1"/>
  <c r="F31" i="22"/>
  <c r="D27" i="22"/>
  <c r="C31" i="18" s="1"/>
  <c r="F33" i="18" l="1"/>
  <c r="D33" i="18"/>
  <c r="E27" i="22"/>
  <c r="E31" i="18" s="1"/>
  <c r="F27" i="22"/>
  <c r="E22" i="22"/>
  <c r="E17" i="18" s="1"/>
  <c r="F22" i="22"/>
  <c r="D22" i="22"/>
  <c r="C17" i="18" s="1"/>
  <c r="E8" i="22"/>
  <c r="E12" i="18" s="1"/>
  <c r="F8" i="22"/>
  <c r="D8" i="22"/>
  <c r="C12" i="18" s="1"/>
  <c r="G22" i="22" l="1"/>
  <c r="D31" i="18"/>
  <c r="D21" i="18" s="1"/>
  <c r="G27" i="22"/>
  <c r="F17" i="18"/>
  <c r="F12" i="18"/>
  <c r="H12" i="18" s="1"/>
  <c r="D12" i="18"/>
  <c r="F31" i="18" l="1"/>
  <c r="C75" i="21"/>
  <c r="C51" i="2" s="1"/>
  <c r="F54" i="21"/>
  <c r="G54" i="21"/>
  <c r="F55" i="21"/>
  <c r="F56" i="21"/>
  <c r="G56" i="21"/>
  <c r="F57" i="21"/>
  <c r="G57" i="21"/>
  <c r="F58" i="21"/>
  <c r="F59" i="21"/>
  <c r="G59" i="21"/>
  <c r="F60" i="21"/>
  <c r="F61" i="21"/>
  <c r="D48" i="21"/>
  <c r="E58" i="2" s="1"/>
  <c r="E48" i="21"/>
  <c r="D58" i="2" s="1"/>
  <c r="F58" i="2" s="1"/>
  <c r="C48" i="21"/>
  <c r="C58" i="2" s="1"/>
  <c r="H58" i="2" l="1"/>
  <c r="G58" i="2"/>
  <c r="D18" i="18"/>
  <c r="F21" i="18"/>
  <c r="C31" i="2"/>
  <c r="G8" i="22" l="1"/>
  <c r="H8" i="22"/>
  <c r="H10" i="22"/>
  <c r="H12" i="22"/>
  <c r="H14" i="22"/>
  <c r="G15" i="22"/>
  <c r="H15" i="22"/>
  <c r="G16" i="22"/>
  <c r="H16" i="22"/>
  <c r="G17" i="22"/>
  <c r="H17" i="22"/>
  <c r="G18" i="22"/>
  <c r="H18" i="22"/>
  <c r="G19" i="22"/>
  <c r="H19" i="22"/>
  <c r="G21" i="22"/>
  <c r="H21" i="22"/>
  <c r="H22" i="22"/>
  <c r="G23" i="22"/>
  <c r="H23" i="22"/>
  <c r="G26" i="22"/>
  <c r="H27" i="22"/>
  <c r="G28" i="22"/>
  <c r="H28" i="22"/>
  <c r="G31" i="22"/>
  <c r="H31" i="22"/>
  <c r="G33" i="22"/>
  <c r="H33" i="22"/>
  <c r="G35" i="22"/>
  <c r="H35" i="22"/>
  <c r="G37" i="22"/>
  <c r="H37" i="22"/>
  <c r="G38" i="22"/>
  <c r="H38" i="22"/>
  <c r="G39" i="22"/>
  <c r="H39" i="22"/>
  <c r="G40" i="22"/>
  <c r="H40" i="22"/>
  <c r="G41" i="22"/>
  <c r="H41" i="22"/>
  <c r="G42" i="22"/>
  <c r="H42" i="22"/>
  <c r="G43" i="22"/>
  <c r="H43" i="22"/>
  <c r="G44" i="22"/>
  <c r="H44" i="22"/>
  <c r="G45" i="22"/>
  <c r="H45" i="22"/>
  <c r="G46" i="22"/>
  <c r="H46" i="22"/>
  <c r="G47" i="22"/>
  <c r="H47" i="22"/>
  <c r="G48" i="22"/>
  <c r="H48" i="22"/>
  <c r="G49" i="22"/>
  <c r="H49" i="22"/>
  <c r="G50" i="22"/>
  <c r="H50" i="22"/>
  <c r="G51" i="22"/>
  <c r="H51" i="22"/>
  <c r="G52" i="22"/>
  <c r="H52" i="22"/>
  <c r="G55" i="22"/>
  <c r="H55" i="22"/>
  <c r="G56" i="22"/>
  <c r="H56" i="22"/>
  <c r="G57" i="22"/>
  <c r="G58" i="22"/>
  <c r="G60" i="22"/>
  <c r="H60" i="22"/>
  <c r="G61" i="22"/>
  <c r="H61" i="22"/>
  <c r="G62" i="22"/>
  <c r="H62" i="22"/>
  <c r="G63" i="22"/>
  <c r="H63" i="22"/>
  <c r="G64" i="22"/>
  <c r="H64" i="22"/>
  <c r="G67" i="22"/>
  <c r="G68" i="22"/>
  <c r="G69" i="22"/>
  <c r="H69" i="22"/>
  <c r="G70" i="22"/>
  <c r="G71" i="22"/>
  <c r="H71" i="22"/>
  <c r="G77" i="22"/>
  <c r="G79" i="22"/>
  <c r="H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H91" i="22"/>
  <c r="G97" i="22"/>
  <c r="G92" i="22"/>
  <c r="G98" i="22"/>
  <c r="G99" i="22"/>
  <c r="G100" i="22"/>
  <c r="G101" i="22"/>
  <c r="G102" i="22"/>
  <c r="G103" i="22"/>
  <c r="G104" i="22"/>
  <c r="G105" i="22"/>
  <c r="G106" i="22"/>
  <c r="G107" i="22"/>
  <c r="G108" i="22"/>
  <c r="G93" i="22"/>
  <c r="H93" i="22"/>
  <c r="G109" i="22"/>
  <c r="G110" i="22"/>
  <c r="G111" i="22"/>
  <c r="G112" i="22"/>
  <c r="G94" i="22"/>
  <c r="G113" i="22"/>
  <c r="G114" i="22"/>
  <c r="G115" i="22"/>
  <c r="G116" i="22"/>
  <c r="G117" i="22"/>
  <c r="G118" i="22"/>
  <c r="G119" i="22"/>
  <c r="G120" i="22"/>
  <c r="G95" i="22"/>
  <c r="H95" i="22"/>
  <c r="G121" i="22"/>
  <c r="G122" i="22"/>
  <c r="G96" i="22"/>
  <c r="G123" i="22"/>
  <c r="G124" i="22"/>
  <c r="G125" i="22"/>
  <c r="G126" i="22"/>
  <c r="H126" i="22"/>
  <c r="G127" i="22"/>
  <c r="G128" i="22"/>
  <c r="G129" i="22"/>
  <c r="H129" i="22"/>
  <c r="G130" i="22"/>
  <c r="G131" i="22"/>
  <c r="G132" i="22"/>
  <c r="G133" i="22"/>
  <c r="G134" i="22"/>
  <c r="H134" i="22"/>
  <c r="G135" i="22"/>
  <c r="G136" i="22"/>
  <c r="H136" i="22"/>
  <c r="G137" i="22"/>
  <c r="H137" i="22"/>
  <c r="G138" i="22"/>
  <c r="H138" i="22"/>
  <c r="G139" i="22"/>
  <c r="H139" i="22"/>
  <c r="G140" i="22"/>
  <c r="H140" i="22"/>
  <c r="G141" i="22"/>
  <c r="G142" i="22"/>
  <c r="G143" i="22"/>
  <c r="H143" i="22"/>
  <c r="G144" i="22"/>
  <c r="H144" i="22"/>
  <c r="G145" i="22"/>
  <c r="G146" i="22"/>
  <c r="G147" i="22"/>
  <c r="H147" i="22"/>
  <c r="G148" i="22"/>
  <c r="H148" i="22"/>
  <c r="G149" i="22"/>
  <c r="G150" i="22"/>
  <c r="H150" i="22"/>
  <c r="G151" i="22"/>
  <c r="H151" i="22"/>
  <c r="G152" i="22"/>
  <c r="H152" i="22"/>
  <c r="G153" i="22"/>
  <c r="H153" i="22"/>
  <c r="G154" i="22"/>
  <c r="H154" i="22"/>
  <c r="G155" i="22"/>
  <c r="H155" i="22"/>
  <c r="G156" i="22"/>
  <c r="H156" i="22"/>
  <c r="F8" i="3"/>
  <c r="F10" i="3"/>
  <c r="F12" i="3"/>
  <c r="F13" i="3"/>
  <c r="N74" i="10"/>
  <c r="N72" i="10"/>
  <c r="N73" i="10"/>
  <c r="N62" i="10"/>
  <c r="N66" i="10"/>
  <c r="N67" i="10"/>
  <c r="N70" i="10"/>
  <c r="N71" i="10"/>
  <c r="F69" i="10"/>
  <c r="H69" i="10"/>
  <c r="J69" i="10"/>
  <c r="L69" i="10"/>
  <c r="F61" i="10"/>
  <c r="H61" i="10"/>
  <c r="J61" i="10"/>
  <c r="L61" i="10"/>
  <c r="F75" i="10" l="1"/>
  <c r="H75" i="10"/>
  <c r="J75" i="10"/>
  <c r="L75" i="10"/>
  <c r="D69" i="10"/>
  <c r="N69" i="10" s="1"/>
  <c r="D61" i="10"/>
  <c r="N61" i="10" s="1"/>
  <c r="D7" i="24"/>
  <c r="E7" i="24"/>
  <c r="D11" i="20" s="1"/>
  <c r="D9" i="20" s="1"/>
  <c r="F9" i="20" s="1"/>
  <c r="C7" i="24"/>
  <c r="F22" i="24"/>
  <c r="G22" i="24"/>
  <c r="G21" i="24"/>
  <c r="F11" i="24"/>
  <c r="G11" i="24"/>
  <c r="F27" i="24"/>
  <c r="F8" i="24"/>
  <c r="G8" i="24"/>
  <c r="F9" i="24"/>
  <c r="F16" i="24"/>
  <c r="G16" i="24"/>
  <c r="F15" i="24"/>
  <c r="G15" i="24"/>
  <c r="F14" i="24"/>
  <c r="G14" i="24"/>
  <c r="F18" i="24"/>
  <c r="G18" i="24"/>
  <c r="F17" i="24"/>
  <c r="G17" i="24"/>
  <c r="F19" i="24"/>
  <c r="G19" i="24"/>
  <c r="F25" i="24"/>
  <c r="F24" i="24"/>
  <c r="F26" i="24"/>
  <c r="F13" i="24"/>
  <c r="G13" i="24"/>
  <c r="F29" i="24"/>
  <c r="F12" i="20" s="1"/>
  <c r="G12" i="20" s="1"/>
  <c r="E6" i="24" l="1"/>
  <c r="N75" i="10"/>
  <c r="D75" i="10"/>
  <c r="F11" i="20"/>
  <c r="C6" i="24"/>
  <c r="C11" i="20"/>
  <c r="D6" i="24"/>
  <c r="G6" i="24" s="1"/>
  <c r="E11" i="20"/>
  <c r="H11" i="20" l="1"/>
  <c r="E9" i="20"/>
  <c r="H9" i="20" s="1"/>
  <c r="F6" i="24"/>
  <c r="G11" i="20"/>
  <c r="M34" i="10"/>
  <c r="M35" i="10"/>
  <c r="M36" i="10"/>
  <c r="M37" i="10"/>
  <c r="M39" i="10"/>
  <c r="J34" i="10"/>
  <c r="J35" i="10"/>
  <c r="J36" i="10"/>
  <c r="J37" i="10"/>
  <c r="J38" i="10"/>
  <c r="J39" i="10"/>
  <c r="G40" i="10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F69" i="23"/>
  <c r="F68" i="23"/>
  <c r="F67" i="23"/>
  <c r="E65" i="23"/>
  <c r="E6" i="23" s="1"/>
  <c r="E11" i="3"/>
  <c r="C65" i="23"/>
  <c r="C11" i="3" s="1"/>
  <c r="F62" i="23"/>
  <c r="G60" i="23"/>
  <c r="F60" i="23"/>
  <c r="F56" i="23"/>
  <c r="G55" i="23"/>
  <c r="F55" i="23"/>
  <c r="G54" i="23"/>
  <c r="F54" i="23"/>
  <c r="F53" i="23"/>
  <c r="F52" i="23"/>
  <c r="F51" i="23"/>
  <c r="F48" i="23"/>
  <c r="F47" i="23"/>
  <c r="F46" i="23"/>
  <c r="F45" i="23"/>
  <c r="F44" i="23"/>
  <c r="F43" i="23"/>
  <c r="F42" i="23"/>
  <c r="F41" i="23"/>
  <c r="F40" i="23"/>
  <c r="G39" i="23"/>
  <c r="F39" i="23"/>
  <c r="F38" i="23"/>
  <c r="F37" i="23"/>
  <c r="G36" i="23"/>
  <c r="F36" i="23"/>
  <c r="F35" i="23"/>
  <c r="F34" i="23"/>
  <c r="F33" i="23"/>
  <c r="F27" i="23"/>
  <c r="F32" i="23"/>
  <c r="F31" i="23"/>
  <c r="F30" i="23"/>
  <c r="F29" i="23"/>
  <c r="F28" i="23"/>
  <c r="G26" i="23"/>
  <c r="F26" i="23"/>
  <c r="G25" i="23"/>
  <c r="F25" i="23"/>
  <c r="F24" i="23"/>
  <c r="G23" i="23"/>
  <c r="F23" i="23"/>
  <c r="F22" i="23"/>
  <c r="G21" i="23"/>
  <c r="F21" i="23"/>
  <c r="F20" i="23"/>
  <c r="F19" i="23"/>
  <c r="F18" i="23"/>
  <c r="F17" i="23"/>
  <c r="F16" i="23"/>
  <c r="F15" i="23"/>
  <c r="F14" i="23"/>
  <c r="F13" i="23"/>
  <c r="F12" i="23"/>
  <c r="F11" i="23"/>
  <c r="F9" i="3"/>
  <c r="D7" i="23"/>
  <c r="E8" i="3" s="1"/>
  <c r="C7" i="23"/>
  <c r="F42" i="19"/>
  <c r="G42" i="19" s="1"/>
  <c r="F41" i="19"/>
  <c r="G41" i="19" s="1"/>
  <c r="E40" i="19"/>
  <c r="F40" i="19"/>
  <c r="G40" i="19" s="1"/>
  <c r="C40" i="19"/>
  <c r="F39" i="19"/>
  <c r="G39" i="19" s="1"/>
  <c r="F38" i="19"/>
  <c r="H38" i="19" s="1"/>
  <c r="F37" i="19"/>
  <c r="G37" i="19" s="1"/>
  <c r="E36" i="19"/>
  <c r="D36" i="19"/>
  <c r="C36" i="19"/>
  <c r="F35" i="19"/>
  <c r="F34" i="19"/>
  <c r="G34" i="19" s="1"/>
  <c r="F33" i="19"/>
  <c r="G33" i="19" s="1"/>
  <c r="F32" i="19"/>
  <c r="G32" i="19" s="1"/>
  <c r="F31" i="19"/>
  <c r="F30" i="19"/>
  <c r="G30" i="19" s="1"/>
  <c r="F29" i="19"/>
  <c r="F28" i="19"/>
  <c r="G28" i="19" s="1"/>
  <c r="E27" i="19"/>
  <c r="D27" i="19"/>
  <c r="C27" i="19"/>
  <c r="F26" i="19"/>
  <c r="G26" i="19" s="1"/>
  <c r="F25" i="19"/>
  <c r="H25" i="19" s="1"/>
  <c r="F24" i="19"/>
  <c r="G24" i="19" s="1"/>
  <c r="F23" i="19"/>
  <c r="G23" i="19" s="1"/>
  <c r="F22" i="19"/>
  <c r="G22" i="19" s="1"/>
  <c r="F21" i="19"/>
  <c r="F20" i="19"/>
  <c r="E19" i="19"/>
  <c r="D19" i="19"/>
  <c r="C19" i="19"/>
  <c r="F16" i="19"/>
  <c r="G16" i="19" s="1"/>
  <c r="G11" i="19"/>
  <c r="F9" i="19"/>
  <c r="G9" i="19" s="1"/>
  <c r="E9" i="19"/>
  <c r="D9" i="19"/>
  <c r="C9" i="19"/>
  <c r="F8" i="19"/>
  <c r="F105" i="21"/>
  <c r="G103" i="21"/>
  <c r="F103" i="21"/>
  <c r="G102" i="21"/>
  <c r="F102" i="21"/>
  <c r="F101" i="21"/>
  <c r="G100" i="21"/>
  <c r="F100" i="21"/>
  <c r="G99" i="21"/>
  <c r="F99" i="21"/>
  <c r="G97" i="21"/>
  <c r="F97" i="21"/>
  <c r="G96" i="21"/>
  <c r="F96" i="21"/>
  <c r="G95" i="21"/>
  <c r="F95" i="21"/>
  <c r="D66" i="2"/>
  <c r="F66" i="2" s="1"/>
  <c r="E66" i="2"/>
  <c r="C94" i="21"/>
  <c r="C66" i="2" s="1"/>
  <c r="G93" i="21"/>
  <c r="F93" i="21"/>
  <c r="E92" i="21"/>
  <c r="D92" i="21"/>
  <c r="E62" i="2" s="1"/>
  <c r="C92" i="21"/>
  <c r="C62" i="2" s="1"/>
  <c r="G91" i="21"/>
  <c r="F91" i="21"/>
  <c r="G90" i="21"/>
  <c r="F90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79" i="21"/>
  <c r="F79" i="21"/>
  <c r="G78" i="21"/>
  <c r="F78" i="21"/>
  <c r="G77" i="21"/>
  <c r="F77" i="21"/>
  <c r="G76" i="21"/>
  <c r="E75" i="21"/>
  <c r="D51" i="2" s="1"/>
  <c r="F51" i="2" s="1"/>
  <c r="E51" i="2"/>
  <c r="F73" i="21"/>
  <c r="G72" i="21"/>
  <c r="F72" i="21"/>
  <c r="G71" i="21"/>
  <c r="F71" i="21"/>
  <c r="G70" i="21"/>
  <c r="F70" i="21"/>
  <c r="E69" i="21"/>
  <c r="D69" i="21"/>
  <c r="E69" i="2" s="1"/>
  <c r="C69" i="21"/>
  <c r="C69" i="2" s="1"/>
  <c r="F67" i="21"/>
  <c r="F66" i="21"/>
  <c r="F65" i="21"/>
  <c r="F64" i="21"/>
  <c r="F63" i="21"/>
  <c r="D63" i="2"/>
  <c r="F63" i="2" s="1"/>
  <c r="C62" i="21"/>
  <c r="C63" i="2" s="1"/>
  <c r="G53" i="21"/>
  <c r="F53" i="21"/>
  <c r="G52" i="21"/>
  <c r="F52" i="21"/>
  <c r="G51" i="21"/>
  <c r="F51" i="21"/>
  <c r="G50" i="21"/>
  <c r="F50" i="21"/>
  <c r="G49" i="21"/>
  <c r="F49" i="21"/>
  <c r="F47" i="21"/>
  <c r="F46" i="21"/>
  <c r="G45" i="21"/>
  <c r="F45" i="21"/>
  <c r="G44" i="21"/>
  <c r="F44" i="21"/>
  <c r="E42" i="21"/>
  <c r="D47" i="2" s="1"/>
  <c r="F47" i="2" s="1"/>
  <c r="D42" i="21"/>
  <c r="E47" i="2" s="1"/>
  <c r="C42" i="21"/>
  <c r="C47" i="2" s="1"/>
  <c r="G41" i="21"/>
  <c r="F41" i="21"/>
  <c r="G40" i="21"/>
  <c r="F40" i="21"/>
  <c r="G39" i="21"/>
  <c r="F39" i="21"/>
  <c r="G38" i="21"/>
  <c r="F38" i="21"/>
  <c r="G37" i="21"/>
  <c r="F37" i="21"/>
  <c r="F36" i="21"/>
  <c r="G35" i="21"/>
  <c r="F35" i="21"/>
  <c r="F34" i="21"/>
  <c r="F33" i="21"/>
  <c r="G32" i="21"/>
  <c r="F32" i="21"/>
  <c r="G31" i="21"/>
  <c r="F31" i="21"/>
  <c r="G29" i="21"/>
  <c r="F29" i="21"/>
  <c r="E28" i="21"/>
  <c r="D28" i="21"/>
  <c r="E39" i="2" s="1"/>
  <c r="E19" i="2" s="1"/>
  <c r="C28" i="21"/>
  <c r="C39" i="2" s="1"/>
  <c r="F27" i="21"/>
  <c r="G26" i="21"/>
  <c r="F26" i="21"/>
  <c r="G25" i="21"/>
  <c r="F25" i="21"/>
  <c r="G24" i="21"/>
  <c r="F24" i="21"/>
  <c r="G20" i="21"/>
  <c r="F20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D17" i="2"/>
  <c r="D7" i="21"/>
  <c r="E17" i="2" s="1"/>
  <c r="E9" i="2" s="1"/>
  <c r="C7" i="21"/>
  <c r="C17" i="2" s="1"/>
  <c r="G35" i="19" l="1"/>
  <c r="H35" i="19"/>
  <c r="H47" i="2"/>
  <c r="G47" i="2"/>
  <c r="G31" i="19"/>
  <c r="H31" i="19"/>
  <c r="D69" i="2"/>
  <c r="F69" i="2" s="1"/>
  <c r="G69" i="21"/>
  <c r="G29" i="19"/>
  <c r="H29" i="19"/>
  <c r="H20" i="19"/>
  <c r="G20" i="19"/>
  <c r="G51" i="2"/>
  <c r="F17" i="2"/>
  <c r="D9" i="2"/>
  <c r="G9" i="20"/>
  <c r="C6" i="23"/>
  <c r="C8" i="3"/>
  <c r="D11" i="3"/>
  <c r="F11" i="3" s="1"/>
  <c r="F19" i="19"/>
  <c r="G19" i="19" s="1"/>
  <c r="E18" i="2"/>
  <c r="G92" i="21"/>
  <c r="D62" i="2"/>
  <c r="F62" i="2" s="1"/>
  <c r="J40" i="10"/>
  <c r="F69" i="21"/>
  <c r="D43" i="19"/>
  <c r="F36" i="19"/>
  <c r="G36" i="19" s="1"/>
  <c r="G38" i="19"/>
  <c r="E43" i="19"/>
  <c r="G25" i="19"/>
  <c r="C43" i="19"/>
  <c r="F94" i="21"/>
  <c r="F92" i="21"/>
  <c r="F75" i="21"/>
  <c r="F48" i="21"/>
  <c r="F42" i="21"/>
  <c r="F28" i="21"/>
  <c r="F7" i="21"/>
  <c r="F7" i="23"/>
  <c r="F65" i="23"/>
  <c r="F71" i="23"/>
  <c r="F61" i="23"/>
  <c r="G68" i="23"/>
  <c r="G71" i="23"/>
  <c r="G27" i="19"/>
  <c r="H36" i="19"/>
  <c r="H39" i="19"/>
  <c r="F27" i="19"/>
  <c r="H27" i="19" s="1"/>
  <c r="G7" i="21"/>
  <c r="G28" i="21"/>
  <c r="G42" i="21"/>
  <c r="G48" i="21"/>
  <c r="G75" i="21"/>
  <c r="G94" i="21"/>
  <c r="H19" i="19" l="1"/>
  <c r="G62" i="21"/>
  <c r="E63" i="2"/>
  <c r="F43" i="19"/>
  <c r="H43" i="19" s="1"/>
  <c r="F62" i="21"/>
  <c r="G43" i="19" l="1"/>
  <c r="D120" i="14"/>
  <c r="D121" i="14"/>
  <c r="D119" i="14"/>
  <c r="E94" i="14"/>
  <c r="F94" i="14"/>
  <c r="D99" i="14"/>
  <c r="E99" i="14"/>
  <c r="F99" i="14"/>
  <c r="C99" i="14"/>
  <c r="C94" i="14"/>
  <c r="G10" i="24"/>
  <c r="F10" i="24"/>
  <c r="F28" i="24"/>
  <c r="F23" i="24"/>
  <c r="G7" i="24"/>
  <c r="F7" i="24"/>
  <c r="H12" i="3" l="1"/>
  <c r="H13" i="3"/>
  <c r="G36" i="22" l="1"/>
  <c r="H36" i="22"/>
  <c r="G32" i="22"/>
  <c r="H32" i="22"/>
  <c r="H30" i="22"/>
  <c r="G13" i="22"/>
  <c r="H13" i="22"/>
  <c r="G9" i="22"/>
  <c r="H9" i="22"/>
  <c r="E40" i="2"/>
  <c r="H98" i="14" l="1"/>
  <c r="G98" i="14"/>
  <c r="H95" i="14" l="1"/>
  <c r="G95" i="14"/>
  <c r="C25" i="10" l="1"/>
  <c r="C24" i="10"/>
  <c r="C23" i="10"/>
  <c r="F25" i="10"/>
  <c r="F24" i="10"/>
  <c r="F23" i="10"/>
  <c r="I23" i="10"/>
  <c r="I24" i="10"/>
  <c r="I25" i="10"/>
  <c r="G96" i="14" l="1"/>
  <c r="H96" i="14"/>
  <c r="G97" i="14"/>
  <c r="H97" i="14"/>
  <c r="G100" i="14"/>
  <c r="H100" i="14"/>
  <c r="G101" i="14"/>
  <c r="G102" i="14"/>
  <c r="H102" i="14"/>
  <c r="G104" i="14"/>
  <c r="G105" i="14"/>
  <c r="H105" i="14"/>
  <c r="H93" i="14"/>
  <c r="G93" i="14"/>
  <c r="AD10" i="9" l="1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L23" i="10"/>
  <c r="N23" i="10"/>
  <c r="H60" i="18" l="1"/>
  <c r="G63" i="18"/>
  <c r="G67" i="18"/>
  <c r="G60" i="18"/>
  <c r="G48" i="18"/>
  <c r="G19" i="18"/>
  <c r="H19" i="18"/>
  <c r="G20" i="18"/>
  <c r="H20" i="18"/>
  <c r="G23" i="18"/>
  <c r="H23" i="18"/>
  <c r="G24" i="18"/>
  <c r="H24" i="18"/>
  <c r="G26" i="18"/>
  <c r="H26" i="18"/>
  <c r="G29" i="18"/>
  <c r="H29" i="18"/>
  <c r="G30" i="18"/>
  <c r="H30" i="18"/>
  <c r="G33" i="18"/>
  <c r="H33" i="18"/>
  <c r="H17" i="18"/>
  <c r="G10" i="18"/>
  <c r="G11" i="18"/>
  <c r="G12" i="18"/>
  <c r="G13" i="18"/>
  <c r="G14" i="18"/>
  <c r="G15" i="18"/>
  <c r="G16" i="18"/>
  <c r="G17" i="18"/>
  <c r="H9" i="18"/>
  <c r="G9" i="18"/>
  <c r="G91" i="2"/>
  <c r="H91" i="2"/>
  <c r="G92" i="2"/>
  <c r="H92" i="2"/>
  <c r="G93" i="2"/>
  <c r="H93" i="2"/>
  <c r="G94" i="2"/>
  <c r="H94" i="2"/>
  <c r="H90" i="2"/>
  <c r="G90" i="2"/>
  <c r="G69" i="2"/>
  <c r="H63" i="2"/>
  <c r="G63" i="2"/>
  <c r="H51" i="2"/>
  <c r="G39" i="2"/>
  <c r="H39" i="2"/>
  <c r="H37" i="2"/>
  <c r="G37" i="2"/>
  <c r="G25" i="2"/>
  <c r="H25" i="2"/>
  <c r="G26" i="2"/>
  <c r="H26" i="2"/>
  <c r="G27" i="2"/>
  <c r="H27" i="2"/>
  <c r="H24" i="2"/>
  <c r="G24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H20" i="2"/>
  <c r="H8" i="2"/>
  <c r="G8" i="2"/>
  <c r="G35" i="18" l="1"/>
  <c r="G37" i="18"/>
  <c r="G38" i="18"/>
  <c r="G39" i="18"/>
  <c r="G40" i="18"/>
  <c r="G45" i="18"/>
  <c r="G46" i="18"/>
  <c r="G53" i="18"/>
  <c r="G55" i="18"/>
  <c r="G56" i="18"/>
  <c r="G57" i="18"/>
  <c r="D67" i="2" l="1"/>
  <c r="E67" i="2"/>
  <c r="F67" i="2"/>
  <c r="C67" i="2"/>
  <c r="G67" i="2" l="1"/>
  <c r="G34" i="22"/>
  <c r="H34" i="22"/>
  <c r="G29" i="22" l="1"/>
  <c r="H29" i="22"/>
  <c r="G25" i="22" l="1"/>
  <c r="D103" i="14"/>
  <c r="D106" i="14" s="1"/>
  <c r="D94" i="14"/>
  <c r="G99" i="14" l="1"/>
  <c r="H99" i="14"/>
  <c r="I10" i="10" l="1"/>
  <c r="G76" i="2"/>
  <c r="G66" i="2"/>
  <c r="G20" i="22" l="1"/>
  <c r="H20" i="22"/>
  <c r="M40" i="10"/>
  <c r="G44" i="18" l="1"/>
  <c r="H44" i="18"/>
  <c r="D51" i="14"/>
  <c r="E51" i="14"/>
  <c r="F51" i="14"/>
  <c r="C51" i="14"/>
  <c r="D45" i="14"/>
  <c r="E45" i="14"/>
  <c r="F45" i="14"/>
  <c r="C45" i="14"/>
  <c r="D44" i="14"/>
  <c r="E44" i="14"/>
  <c r="F44" i="14"/>
  <c r="C44" i="14"/>
  <c r="D43" i="14"/>
  <c r="E43" i="14"/>
  <c r="F43" i="14"/>
  <c r="C43" i="14"/>
  <c r="D42" i="14"/>
  <c r="E42" i="14"/>
  <c r="F42" i="14"/>
  <c r="C42" i="14"/>
  <c r="D25" i="14"/>
  <c r="E25" i="14"/>
  <c r="F25" i="14"/>
  <c r="D124" i="14" l="1"/>
  <c r="E14" i="11"/>
  <c r="F14" i="11"/>
  <c r="G14" i="11"/>
  <c r="D14" i="11"/>
  <c r="D8" i="18"/>
  <c r="D34" i="18" s="1"/>
  <c r="E8" i="18"/>
  <c r="F8" i="18"/>
  <c r="C8" i="18"/>
  <c r="D41" i="18"/>
  <c r="E41" i="18"/>
  <c r="F41" i="18"/>
  <c r="C41" i="18"/>
  <c r="D54" i="18"/>
  <c r="E54" i="18"/>
  <c r="F54" i="18"/>
  <c r="D58" i="18"/>
  <c r="E58" i="18"/>
  <c r="F58" i="18"/>
  <c r="C58" i="18"/>
  <c r="C54" i="18"/>
  <c r="F34" i="18" l="1"/>
  <c r="H54" i="18"/>
  <c r="G54" i="18"/>
  <c r="H41" i="18"/>
  <c r="G41" i="18"/>
  <c r="H8" i="18"/>
  <c r="G8" i="18"/>
  <c r="G58" i="18"/>
  <c r="H58" i="18"/>
  <c r="G21" i="18"/>
  <c r="H21" i="18"/>
  <c r="D126" i="14"/>
  <c r="L25" i="10"/>
  <c r="N25" i="10"/>
  <c r="D125" i="14"/>
  <c r="L24" i="10"/>
  <c r="N24" i="10"/>
  <c r="D64" i="18"/>
  <c r="F64" i="18"/>
  <c r="E64" i="18"/>
  <c r="E70" i="14" s="1"/>
  <c r="C64" i="18"/>
  <c r="C70" i="14" s="1"/>
  <c r="G64" i="18" l="1"/>
  <c r="H64" i="18"/>
  <c r="F70" i="14"/>
  <c r="D70" i="14"/>
  <c r="H70" i="14" l="1"/>
  <c r="G70" i="14"/>
  <c r="F103" i="14" l="1"/>
  <c r="G94" i="14" l="1"/>
  <c r="H94" i="14"/>
  <c r="F106" i="14"/>
  <c r="F107" i="14" s="1"/>
  <c r="F90" i="14"/>
  <c r="D118" i="14"/>
  <c r="C63" i="14"/>
  <c r="F18" i="18"/>
  <c r="C9" i="20"/>
  <c r="J68" i="9"/>
  <c r="H68" i="9"/>
  <c r="F68" i="9"/>
  <c r="F85" i="14"/>
  <c r="D85" i="14" s="1"/>
  <c r="F84" i="14"/>
  <c r="D84" i="14" s="1"/>
  <c r="F83" i="14"/>
  <c r="D83" i="14" s="1"/>
  <c r="F82" i="14"/>
  <c r="D82" i="14" s="1"/>
  <c r="E85" i="14"/>
  <c r="E84" i="14"/>
  <c r="E83" i="14"/>
  <c r="E82" i="14"/>
  <c r="X22" i="9"/>
  <c r="AA21" i="9"/>
  <c r="AD21" i="9"/>
  <c r="R22" i="9"/>
  <c r="AA11" i="9"/>
  <c r="F112" i="14"/>
  <c r="E112" i="14"/>
  <c r="F54" i="14"/>
  <c r="F122" i="14" s="1"/>
  <c r="E126" i="14"/>
  <c r="E125" i="14"/>
  <c r="E124" i="14"/>
  <c r="E54" i="14"/>
  <c r="F18" i="10" s="1"/>
  <c r="F10" i="10"/>
  <c r="F120" i="14"/>
  <c r="E120" i="14"/>
  <c r="F121" i="14"/>
  <c r="E121" i="14"/>
  <c r="F119" i="14"/>
  <c r="E119" i="14"/>
  <c r="C121" i="14"/>
  <c r="C120" i="14"/>
  <c r="C119" i="14"/>
  <c r="C54" i="14"/>
  <c r="C18" i="10" s="1"/>
  <c r="D54" i="14"/>
  <c r="C126" i="14"/>
  <c r="C125" i="14"/>
  <c r="C124" i="14"/>
  <c r="C10" i="10"/>
  <c r="I14" i="10"/>
  <c r="F14" i="10"/>
  <c r="C14" i="10"/>
  <c r="E103" i="14"/>
  <c r="G103" i="14" s="1"/>
  <c r="C103" i="14"/>
  <c r="D91" i="14"/>
  <c r="E91" i="14"/>
  <c r="F91" i="14"/>
  <c r="C91" i="14"/>
  <c r="E52" i="2"/>
  <c r="F9" i="2"/>
  <c r="F48" i="2"/>
  <c r="F52" i="2"/>
  <c r="D75" i="14"/>
  <c r="D79" i="14"/>
  <c r="D80" i="14"/>
  <c r="E75" i="14"/>
  <c r="E77" i="14"/>
  <c r="E78" i="14"/>
  <c r="E79" i="14"/>
  <c r="E80" i="14"/>
  <c r="F75" i="14"/>
  <c r="F76" i="14"/>
  <c r="D76" i="14" s="1"/>
  <c r="F77" i="14"/>
  <c r="D77" i="14" s="1"/>
  <c r="F78" i="14"/>
  <c r="D78" i="14" s="1"/>
  <c r="F79" i="14"/>
  <c r="F80" i="14"/>
  <c r="C76" i="14"/>
  <c r="C77" i="14"/>
  <c r="C78" i="14"/>
  <c r="C79" i="14"/>
  <c r="C80" i="14"/>
  <c r="C75" i="14"/>
  <c r="D67" i="14"/>
  <c r="E67" i="14"/>
  <c r="F67" i="14"/>
  <c r="C67" i="14"/>
  <c r="E19" i="11"/>
  <c r="F19" i="11"/>
  <c r="G19" i="11"/>
  <c r="D19" i="11"/>
  <c r="D56" i="14"/>
  <c r="E56" i="14"/>
  <c r="F56" i="14"/>
  <c r="C56" i="14"/>
  <c r="E15" i="11"/>
  <c r="F15" i="11"/>
  <c r="G15" i="11"/>
  <c r="D15" i="11"/>
  <c r="D83" i="2"/>
  <c r="F83" i="2" s="1"/>
  <c r="E85" i="2"/>
  <c r="E87" i="2"/>
  <c r="E83" i="2"/>
  <c r="F84" i="2"/>
  <c r="F86" i="2"/>
  <c r="F85" i="2"/>
  <c r="F87" i="2"/>
  <c r="C83" i="2"/>
  <c r="G8" i="3"/>
  <c r="G10" i="3"/>
  <c r="G11" i="3"/>
  <c r="G12" i="3"/>
  <c r="G13" i="3"/>
  <c r="D7" i="3"/>
  <c r="F7" i="3" s="1"/>
  <c r="C7" i="3"/>
  <c r="F36" i="18"/>
  <c r="E36" i="18"/>
  <c r="E52" i="18" s="1"/>
  <c r="E69" i="14" s="1"/>
  <c r="D36" i="18"/>
  <c r="D52" i="18" s="1"/>
  <c r="C18" i="18"/>
  <c r="C36" i="18"/>
  <c r="C52" i="18" s="1"/>
  <c r="C69" i="14" s="1"/>
  <c r="D63" i="14"/>
  <c r="D62" i="14"/>
  <c r="E62" i="14"/>
  <c r="F62" i="14"/>
  <c r="C62" i="14"/>
  <c r="D61" i="14"/>
  <c r="E61" i="14"/>
  <c r="F61" i="14"/>
  <c r="C61" i="14"/>
  <c r="D53" i="14"/>
  <c r="E53" i="14"/>
  <c r="F53" i="14"/>
  <c r="D55" i="14"/>
  <c r="E55" i="14"/>
  <c r="F55" i="14"/>
  <c r="D57" i="14"/>
  <c r="E57" i="14"/>
  <c r="F57" i="14"/>
  <c r="C55" i="14"/>
  <c r="C57" i="14"/>
  <c r="C53" i="14"/>
  <c r="D47" i="14"/>
  <c r="E47" i="14"/>
  <c r="F47" i="14"/>
  <c r="D48" i="14"/>
  <c r="E48" i="14"/>
  <c r="F48" i="14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C36" i="14"/>
  <c r="D35" i="14"/>
  <c r="E35" i="14"/>
  <c r="F35" i="14"/>
  <c r="C35" i="14"/>
  <c r="G43" i="14"/>
  <c r="G44" i="14"/>
  <c r="G45" i="14"/>
  <c r="G51" i="14"/>
  <c r="G52" i="14"/>
  <c r="C25" i="14"/>
  <c r="D87" i="2"/>
  <c r="C87" i="2"/>
  <c r="D86" i="2"/>
  <c r="E86" i="2"/>
  <c r="C86" i="2"/>
  <c r="D85" i="2"/>
  <c r="C85" i="2"/>
  <c r="D84" i="2"/>
  <c r="E84" i="2"/>
  <c r="C84" i="2"/>
  <c r="G50" i="2"/>
  <c r="G49" i="2"/>
  <c r="E95" i="2"/>
  <c r="F95" i="2"/>
  <c r="F40" i="2"/>
  <c r="H40" i="2" s="1"/>
  <c r="E29" i="14"/>
  <c r="H32" i="2"/>
  <c r="H66" i="2"/>
  <c r="H68" i="2"/>
  <c r="H80" i="2"/>
  <c r="C81" i="14"/>
  <c r="C113" i="14"/>
  <c r="D109" i="14"/>
  <c r="C109" i="14"/>
  <c r="D40" i="2"/>
  <c r="C40" i="2"/>
  <c r="D40" i="14"/>
  <c r="E40" i="14"/>
  <c r="F40" i="14"/>
  <c r="C40" i="14"/>
  <c r="D64" i="2"/>
  <c r="D39" i="14" s="1"/>
  <c r="E64" i="2"/>
  <c r="E39" i="14" s="1"/>
  <c r="F64" i="2"/>
  <c r="C64" i="2"/>
  <c r="C39" i="14" s="1"/>
  <c r="D52" i="2"/>
  <c r="C52" i="2"/>
  <c r="D48" i="2"/>
  <c r="D30" i="14" s="1"/>
  <c r="E48" i="2"/>
  <c r="C48" i="2"/>
  <c r="C30" i="14" s="1"/>
  <c r="G80" i="2"/>
  <c r="D95" i="2"/>
  <c r="C95" i="2"/>
  <c r="D19" i="2"/>
  <c r="E28" i="14"/>
  <c r="F19" i="2"/>
  <c r="C9" i="2"/>
  <c r="C19" i="2"/>
  <c r="G65" i="2"/>
  <c r="G32" i="2"/>
  <c r="G95" i="2" l="1"/>
  <c r="D69" i="14"/>
  <c r="D65" i="18"/>
  <c r="F65" i="18" s="1"/>
  <c r="D81" i="14"/>
  <c r="Q58" i="9"/>
  <c r="U58" i="9"/>
  <c r="C18" i="2"/>
  <c r="E31" i="14"/>
  <c r="E79" i="2"/>
  <c r="C28" i="14"/>
  <c r="E30" i="14"/>
  <c r="E49" i="14" s="1"/>
  <c r="E59" i="2"/>
  <c r="C31" i="14"/>
  <c r="C29" i="14"/>
  <c r="D31" i="14"/>
  <c r="D29" i="14"/>
  <c r="D28" i="14"/>
  <c r="D26" i="14"/>
  <c r="D27" i="14" s="1"/>
  <c r="G67" i="14"/>
  <c r="F28" i="14"/>
  <c r="H28" i="14" s="1"/>
  <c r="H19" i="2"/>
  <c r="G19" i="2"/>
  <c r="F30" i="14"/>
  <c r="F78" i="2"/>
  <c r="AA12" i="9"/>
  <c r="AD12" i="9"/>
  <c r="F52" i="18"/>
  <c r="F69" i="14" s="1"/>
  <c r="G36" i="18"/>
  <c r="G83" i="2"/>
  <c r="H83" i="2"/>
  <c r="H95" i="2"/>
  <c r="F39" i="14"/>
  <c r="G39" i="14" s="1"/>
  <c r="H64" i="2"/>
  <c r="G64" i="2"/>
  <c r="F29" i="14"/>
  <c r="G29" i="14" s="1"/>
  <c r="G40" i="2"/>
  <c r="F26" i="14"/>
  <c r="F27" i="14" s="1"/>
  <c r="F31" i="14"/>
  <c r="G52" i="2"/>
  <c r="H52" i="2"/>
  <c r="F79" i="2"/>
  <c r="N10" i="10"/>
  <c r="L10" i="10"/>
  <c r="F22" i="10"/>
  <c r="H103" i="14"/>
  <c r="L14" i="10"/>
  <c r="N14" i="10"/>
  <c r="F63" i="14"/>
  <c r="F64" i="14"/>
  <c r="G78" i="14"/>
  <c r="G47" i="14"/>
  <c r="G38" i="14"/>
  <c r="G40" i="14"/>
  <c r="G110" i="14"/>
  <c r="C106" i="14"/>
  <c r="C107" i="14" s="1"/>
  <c r="C90" i="14"/>
  <c r="E106" i="14"/>
  <c r="E107" i="14" s="1"/>
  <c r="E90" i="14"/>
  <c r="G115" i="14"/>
  <c r="D107" i="14"/>
  <c r="D90" i="14"/>
  <c r="G75" i="14"/>
  <c r="E63" i="14"/>
  <c r="G63" i="14" s="1"/>
  <c r="D64" i="14"/>
  <c r="G80" i="14"/>
  <c r="H91" i="14"/>
  <c r="E81" i="14"/>
  <c r="G83" i="14"/>
  <c r="G85" i="14"/>
  <c r="G84" i="14"/>
  <c r="AA22" i="9"/>
  <c r="G82" i="14"/>
  <c r="F81" i="14"/>
  <c r="H84" i="14"/>
  <c r="E113" i="14"/>
  <c r="G116" i="14"/>
  <c r="E18" i="18"/>
  <c r="G18" i="18" s="1"/>
  <c r="E66" i="14"/>
  <c r="H62" i="14"/>
  <c r="C64" i="14"/>
  <c r="H56" i="14"/>
  <c r="E109" i="14"/>
  <c r="G112" i="14"/>
  <c r="F113" i="14"/>
  <c r="H87" i="2"/>
  <c r="D78" i="2"/>
  <c r="C78" i="2"/>
  <c r="H25" i="14"/>
  <c r="H48" i="2"/>
  <c r="G87" i="2"/>
  <c r="C59" i="2"/>
  <c r="C82" i="2" s="1"/>
  <c r="D79" i="2"/>
  <c r="G121" i="14"/>
  <c r="E118" i="14"/>
  <c r="G55" i="14"/>
  <c r="D58" i="14"/>
  <c r="G77" i="14"/>
  <c r="G61" i="14"/>
  <c r="G62" i="14"/>
  <c r="G114" i="14"/>
  <c r="G35" i="14"/>
  <c r="H55" i="14"/>
  <c r="G53" i="14"/>
  <c r="G56" i="14"/>
  <c r="C58" i="14"/>
  <c r="G25" i="14"/>
  <c r="G91" i="14"/>
  <c r="G111" i="14"/>
  <c r="F109" i="14"/>
  <c r="H38" i="14"/>
  <c r="E58" i="14"/>
  <c r="H119" i="14"/>
  <c r="F118" i="14"/>
  <c r="H61" i="14"/>
  <c r="C49" i="14"/>
  <c r="H54" i="14"/>
  <c r="E122" i="14"/>
  <c r="G122" i="14" s="1"/>
  <c r="G120" i="14"/>
  <c r="G119" i="14"/>
  <c r="D49" i="14"/>
  <c r="G48" i="14"/>
  <c r="C118" i="14"/>
  <c r="H120" i="14"/>
  <c r="G36" i="14"/>
  <c r="G37" i="14"/>
  <c r="G57" i="14"/>
  <c r="H121" i="14"/>
  <c r="E7" i="11"/>
  <c r="F58" i="14"/>
  <c r="F74" i="14"/>
  <c r="G17" i="11" s="1"/>
  <c r="F18" i="2"/>
  <c r="F124" i="14"/>
  <c r="F126" i="14"/>
  <c r="C66" i="14"/>
  <c r="C26" i="14"/>
  <c r="C79" i="2"/>
  <c r="D18" i="2"/>
  <c r="D59" i="2" s="1"/>
  <c r="G48" i="2"/>
  <c r="H57" i="14"/>
  <c r="H53" i="14"/>
  <c r="C34" i="18"/>
  <c r="C68" i="14" s="1"/>
  <c r="C74" i="14"/>
  <c r="D74" i="14"/>
  <c r="E17" i="11" s="1"/>
  <c r="C22" i="10"/>
  <c r="C122" i="14"/>
  <c r="I18" i="10"/>
  <c r="D122" i="14" s="1"/>
  <c r="D123" i="14" s="1"/>
  <c r="F123" i="14" s="1"/>
  <c r="G54" i="14"/>
  <c r="F125" i="14"/>
  <c r="AD22" i="9"/>
  <c r="G31" i="14" l="1"/>
  <c r="G30" i="14"/>
  <c r="D32" i="14"/>
  <c r="D41" i="14" s="1"/>
  <c r="AF57" i="9"/>
  <c r="AE57" i="9"/>
  <c r="H30" i="14"/>
  <c r="D50" i="14"/>
  <c r="E123" i="14"/>
  <c r="H29" i="14"/>
  <c r="F32" i="14"/>
  <c r="H63" i="14"/>
  <c r="F49" i="14"/>
  <c r="G49" i="14" s="1"/>
  <c r="G78" i="2"/>
  <c r="H78" i="2"/>
  <c r="H52" i="18"/>
  <c r="G52" i="18"/>
  <c r="H18" i="18"/>
  <c r="H39" i="14"/>
  <c r="H31" i="14"/>
  <c r="H69" i="14"/>
  <c r="G69" i="14"/>
  <c r="H106" i="14"/>
  <c r="G106" i="14"/>
  <c r="I22" i="10"/>
  <c r="L18" i="10"/>
  <c r="N18" i="10"/>
  <c r="H113" i="14"/>
  <c r="C88" i="2"/>
  <c r="C33" i="14" s="1"/>
  <c r="D8" i="11" s="1"/>
  <c r="G107" i="14"/>
  <c r="G109" i="14"/>
  <c r="G81" i="14"/>
  <c r="H81" i="14"/>
  <c r="G113" i="14"/>
  <c r="C123" i="14"/>
  <c r="D68" i="14"/>
  <c r="E64" i="14"/>
  <c r="H64" i="14" s="1"/>
  <c r="C70" i="2"/>
  <c r="C75" i="2" s="1"/>
  <c r="C17" i="19" s="1"/>
  <c r="H122" i="14"/>
  <c r="G28" i="14"/>
  <c r="H118" i="14"/>
  <c r="G118" i="14"/>
  <c r="G90" i="14"/>
  <c r="H90" i="14"/>
  <c r="D71" i="14"/>
  <c r="C71" i="14"/>
  <c r="D17" i="11"/>
  <c r="D18" i="11"/>
  <c r="Y58" i="9"/>
  <c r="F50" i="14"/>
  <c r="G7" i="11"/>
  <c r="G125" i="14"/>
  <c r="H125" i="14"/>
  <c r="E18" i="11"/>
  <c r="D70" i="2"/>
  <c r="D75" i="2" s="1"/>
  <c r="D17" i="19" s="1"/>
  <c r="F17" i="19" s="1"/>
  <c r="D82" i="2"/>
  <c r="C27" i="14"/>
  <c r="C50" i="14"/>
  <c r="Z58" i="9"/>
  <c r="V58" i="9"/>
  <c r="G126" i="14"/>
  <c r="H126" i="14"/>
  <c r="G124" i="14"/>
  <c r="H124" i="14"/>
  <c r="F59" i="2"/>
  <c r="G18" i="11"/>
  <c r="G58" i="14"/>
  <c r="H58" i="14"/>
  <c r="D46" i="14" l="1"/>
  <c r="D88" i="14" s="1"/>
  <c r="H49" i="14"/>
  <c r="F70" i="2"/>
  <c r="D13" i="11"/>
  <c r="L22" i="10"/>
  <c r="N22" i="10"/>
  <c r="D88" i="2"/>
  <c r="D33" i="14" s="1"/>
  <c r="C34" i="14"/>
  <c r="G64" i="14"/>
  <c r="AD58" i="9"/>
  <c r="AC58" i="9"/>
  <c r="E11" i="11"/>
  <c r="E34" i="18"/>
  <c r="E65" i="18" s="1"/>
  <c r="F68" i="14"/>
  <c r="F82" i="2"/>
  <c r="D7" i="11"/>
  <c r="C32" i="14"/>
  <c r="C41" i="14" l="1"/>
  <c r="E10" i="11"/>
  <c r="D87" i="14"/>
  <c r="E9" i="11"/>
  <c r="D89" i="14"/>
  <c r="G34" i="18"/>
  <c r="H65" i="18"/>
  <c r="G65" i="18"/>
  <c r="H34" i="18"/>
  <c r="F88" i="2"/>
  <c r="E13" i="11"/>
  <c r="E8" i="11"/>
  <c r="D34" i="14"/>
  <c r="F71" i="14"/>
  <c r="E68" i="14"/>
  <c r="H68" i="14" s="1"/>
  <c r="F75" i="2"/>
  <c r="F41" i="14"/>
  <c r="G123" i="14"/>
  <c r="H123" i="14"/>
  <c r="C46" i="14" l="1"/>
  <c r="G68" i="14"/>
  <c r="E68" i="18"/>
  <c r="E71" i="14"/>
  <c r="G71" i="14" s="1"/>
  <c r="F46" i="14"/>
  <c r="F33" i="14"/>
  <c r="C89" i="14" l="1"/>
  <c r="C87" i="14"/>
  <c r="D9" i="11"/>
  <c r="D10" i="11"/>
  <c r="C88" i="14"/>
  <c r="D11" i="11"/>
  <c r="E72" i="14"/>
  <c r="F89" i="14"/>
  <c r="F87" i="14"/>
  <c r="G8" i="11"/>
  <c r="G13" i="11"/>
  <c r="G10" i="11"/>
  <c r="G9" i="11"/>
  <c r="G11" i="11"/>
  <c r="F34" i="14"/>
  <c r="F88" i="14"/>
  <c r="C65" i="18" l="1"/>
  <c r="C68" i="18" s="1"/>
  <c r="D66" i="18" s="1"/>
  <c r="D68" i="18" l="1"/>
  <c r="F68" i="18" s="1"/>
  <c r="D66" i="14"/>
  <c r="D72" i="14" s="1"/>
  <c r="F72" i="14" s="1"/>
  <c r="C72" i="14"/>
  <c r="F66" i="18"/>
  <c r="G68" i="18" l="1"/>
  <c r="H66" i="18"/>
  <c r="G66" i="18"/>
  <c r="F66" i="14"/>
  <c r="H68" i="18" l="1"/>
  <c r="H66" i="14"/>
  <c r="G66" i="14"/>
  <c r="G72" i="14" l="1"/>
  <c r="H72" i="14"/>
  <c r="H9" i="2"/>
  <c r="G79" i="2"/>
  <c r="G18" i="2"/>
  <c r="G9" i="2"/>
  <c r="E26" i="14"/>
  <c r="G26" i="14" l="1"/>
  <c r="E50" i="14"/>
  <c r="E70" i="2"/>
  <c r="H79" i="2"/>
  <c r="H26" i="14"/>
  <c r="H18" i="2"/>
  <c r="E27" i="14"/>
  <c r="E32" i="14" l="1"/>
  <c r="H27" i="14"/>
  <c r="F7" i="11"/>
  <c r="G27" i="14"/>
  <c r="H59" i="2"/>
  <c r="E82" i="2"/>
  <c r="G59" i="2"/>
  <c r="H50" i="14"/>
  <c r="G50" i="14"/>
  <c r="E41" i="14" l="1"/>
  <c r="G70" i="2"/>
  <c r="E75" i="2"/>
  <c r="G32" i="14"/>
  <c r="H32" i="14"/>
  <c r="G82" i="2"/>
  <c r="H82" i="2"/>
  <c r="E88" i="2"/>
  <c r="E46" i="14" l="1"/>
  <c r="G41" i="14"/>
  <c r="H88" i="2"/>
  <c r="E33" i="14"/>
  <c r="G88" i="2"/>
  <c r="E17" i="19"/>
  <c r="G75" i="2"/>
  <c r="F9" i="11" l="1"/>
  <c r="E89" i="14"/>
  <c r="E88" i="14"/>
  <c r="F11" i="11"/>
  <c r="F10" i="11"/>
  <c r="G46" i="14"/>
  <c r="E87" i="14"/>
  <c r="G33" i="14"/>
  <c r="H33" i="14"/>
  <c r="F13" i="11"/>
  <c r="F8" i="11"/>
  <c r="E34" i="14"/>
  <c r="G87" i="14" l="1"/>
  <c r="G88" i="14"/>
  <c r="H34" i="14"/>
  <c r="G34" i="14"/>
  <c r="G89" i="14"/>
  <c r="G10" i="23"/>
  <c r="F10" i="23"/>
  <c r="D6" i="23"/>
  <c r="F6" i="23" s="1"/>
  <c r="E9" i="3"/>
  <c r="H9" i="3" s="1"/>
  <c r="E7" i="3" l="1"/>
  <c r="G7" i="3" s="1"/>
  <c r="E76" i="14"/>
  <c r="G9" i="3"/>
  <c r="G6" i="23"/>
  <c r="H7" i="3"/>
  <c r="E74" i="14" l="1"/>
  <c r="G76" i="14"/>
  <c r="H74" i="14" l="1"/>
  <c r="F18" i="11"/>
  <c r="F17" i="11"/>
  <c r="G74" i="14"/>
</calcChain>
</file>

<file path=xl/comments1.xml><?xml version="1.0" encoding="utf-8"?>
<comments xmlns="http://schemas.openxmlformats.org/spreadsheetml/2006/main">
  <authors>
    <author>Драчук Ира</author>
  </authors>
  <commentList>
    <comment ref="D113" authorId="0" shapeId="0">
      <text>
        <r>
          <rPr>
            <b/>
            <sz val="9"/>
            <color indexed="81"/>
            <rFont val="Tahoma"/>
            <family val="2"/>
            <charset val="204"/>
          </rPr>
          <t>Драчук Ира: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Драчук Ира</author>
  </authors>
  <commentList>
    <comment ref="D38" authorId="0" shapeId="0">
      <text>
        <r>
          <rPr>
            <b/>
            <sz val="9"/>
            <color indexed="81"/>
            <rFont val="Tahoma"/>
            <family val="2"/>
            <charset val="204"/>
          </rPr>
          <t>68406 пільгові</t>
        </r>
      </text>
    </comment>
  </commentList>
</comments>
</file>

<file path=xl/comments3.xml><?xml version="1.0" encoding="utf-8"?>
<comments xmlns="http://schemas.openxmlformats.org/spreadsheetml/2006/main">
  <authors>
    <author>Драчук Ира</author>
  </authors>
  <commentList>
    <comment ref="B49" authorId="0" shapeId="0">
      <text>
        <r>
          <rPr>
            <b/>
            <sz val="9"/>
            <color indexed="81"/>
            <rFont val="Tahoma"/>
            <family val="2"/>
            <charset val="204"/>
          </rPr>
          <t>+вивіз сміття</t>
        </r>
      </text>
    </comment>
  </commentList>
</comments>
</file>

<file path=xl/comments4.xml><?xml version="1.0" encoding="utf-8"?>
<comments xmlns="http://schemas.openxmlformats.org/spreadsheetml/2006/main">
  <authors>
    <author>Драчук Ира</author>
  </authors>
  <commentList>
    <comment ref="E37" authorId="0" shapeId="0">
      <text>
        <r>
          <rPr>
            <b/>
            <sz val="9"/>
            <color indexed="81"/>
            <rFont val="Tahoma"/>
            <family val="2"/>
            <charset val="204"/>
          </rPr>
          <t>не йде з рухом коштів</t>
        </r>
      </text>
    </comment>
  </commentList>
</comments>
</file>

<file path=xl/comments5.xml><?xml version="1.0" encoding="utf-8"?>
<comments xmlns="http://schemas.openxmlformats.org/spreadsheetml/2006/main">
  <authors>
    <author>Драчук Ира</author>
  </authors>
  <commentList>
    <comment ref="L63" authorId="0" shapeId="0">
      <text>
        <r>
          <rPr>
            <b/>
            <sz val="9"/>
            <color indexed="81"/>
            <rFont val="Tahoma"/>
            <family val="2"/>
            <charset val="204"/>
          </rPr>
          <t>47243,8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<sst xmlns="http://schemas.openxmlformats.org/spreadsheetml/2006/main" count="1358" uniqueCount="833">
  <si>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</si>
  <si>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</si>
  <si>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</si>
  <si>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</si>
  <si>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</si>
  <si>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</si>
  <si>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</si>
  <si>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</si>
  <si>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</si>
  <si>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</si>
  <si>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</si>
  <si>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</si>
  <si>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</si>
  <si>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</si>
  <si>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</si>
  <si>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</si>
  <si>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</si>
  <si>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</si>
  <si>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</si>
  <si>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</si>
  <si>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</si>
  <si>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</si>
  <si>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</si>
  <si>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</si>
  <si>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</si>
  <si>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</si>
  <si>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</si>
  <si>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</si>
  <si>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</si>
  <si>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</si>
  <si>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</si>
  <si>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</si>
  <si>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</si>
  <si>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</si>
  <si>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</si>
  <si>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</si>
  <si>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</si>
  <si>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</si>
  <si>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</si>
  <si>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</si>
  <si>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</si>
  <si>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</si>
  <si>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</si>
  <si>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</si>
  <si>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</si>
  <si>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</si>
  <si>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</si>
  <si>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</si>
  <si>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</si>
  <si>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</si>
  <si>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</si>
  <si>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</si>
  <si>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</si>
  <si>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</si>
  <si>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</si>
  <si>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</si>
  <si>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</si>
  <si>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</si>
  <si>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</si>
  <si>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</si>
  <si>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</si>
  <si>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</si>
  <si>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</si>
  <si>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</si>
  <si>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</si>
  <si>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</si>
  <si>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</si>
  <si>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</si>
  <si>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</si>
  <si>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</si>
  <si>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</si>
  <si>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</si>
  <si>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</si>
  <si>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</si>
  <si>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</si>
  <si>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</si>
  <si>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</si>
  <si>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</si>
  <si>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</si>
  <si>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</si>
  <si>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</si>
  <si>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</si>
  <si>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</si>
  <si>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</si>
  <si>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</si>
  <si>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</si>
  <si>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</si>
  <si>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</si>
  <si>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</si>
  <si>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</si>
  <si>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</si>
  <si>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</si>
  <si>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</si>
  <si>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</si>
  <si>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</si>
  <si>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</si>
  <si>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</si>
  <si>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</si>
  <si>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</si>
  <si>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</si>
  <si>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</si>
  <si>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</si>
  <si>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</si>
  <si>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</si>
  <si>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</si>
  <si>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</si>
  <si>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</si>
  <si>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</si>
  <si>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</si>
  <si>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</si>
  <si>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</si>
  <si>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</si>
  <si>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</si>
  <si>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</si>
  <si>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</si>
  <si>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</si>
  <si>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</si>
  <si>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</si>
  <si>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</si>
  <si>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</si>
  <si>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</si>
  <si>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</si>
  <si>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</si>
  <si>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</si>
  <si>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</si>
  <si>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</si>
  <si>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</si>
  <si>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</si>
  <si>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</si>
  <si>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</si>
  <si>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</si>
  <si>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</si>
  <si>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</si>
  <si>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</si>
  <si>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</si>
  <si>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</si>
  <si>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</si>
  <si>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</si>
  <si>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</si>
  <si>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</si>
  <si>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</si>
  <si>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</si>
  <si>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</si>
  <si>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</si>
  <si>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</si>
  <si>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</si>
  <si>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</si>
  <si>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</si>
  <si>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</si>
  <si>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</si>
  <si>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</si>
  <si>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</si>
  <si>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</si>
  <si>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</si>
  <si>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</si>
  <si>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</si>
  <si>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</si>
  <si>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</si>
  <si>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</si>
  <si>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</si>
  <si>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</si>
  <si>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</si>
  <si>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</si>
  <si>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</si>
  <si>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</si>
  <si>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</si>
  <si>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</si>
  <si>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</si>
  <si>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</si>
  <si>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</si>
  <si>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</si>
  <si>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</si>
  <si>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</si>
  <si>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</si>
  <si>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</si>
  <si>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</si>
  <si>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</si>
  <si>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</si>
  <si>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</si>
  <si>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</si>
  <si>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</si>
  <si>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</si>
  <si>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</si>
  <si>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</si>
  <si>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</si>
  <si>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</si>
  <si>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</si>
  <si>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</si>
  <si>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</si>
  <si>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</si>
  <si>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</si>
  <si>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</si>
  <si>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</si>
  <si>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</si>
  <si>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</si>
  <si>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</si>
  <si>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</si>
  <si>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</si>
  <si>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</si>
  <si>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</si>
  <si>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</si>
  <si>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</si>
  <si>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</si>
  <si>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</si>
  <si>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</si>
  <si>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</si>
  <si>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</si>
  <si>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</si>
  <si>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</si>
  <si>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</si>
  <si>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</si>
  <si>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</si>
  <si>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</si>
  <si>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</si>
  <si>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</si>
  <si>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</si>
  <si>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</si>
  <si>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</si>
  <si>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</si>
  <si>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</si>
  <si>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</si>
  <si>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</si>
  <si>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</si>
  <si>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</si>
  <si>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</si>
  <si>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</si>
  <si>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</si>
  <si>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</si>
  <si>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</si>
  <si>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</si>
  <si>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</si>
  <si>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</si>
  <si>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</si>
  <si>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</si>
  <si>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</si>
  <si>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</si>
  <si>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</si>
  <si>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</si>
  <si>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</si>
  <si>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</si>
  <si>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</si>
  <si>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</si>
  <si>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</si>
  <si>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</si>
  <si>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</si>
  <si>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</si>
  <si>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</si>
  <si>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</si>
  <si>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</si>
  <si>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</si>
  <si>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</si>
  <si>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</si>
  <si>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</si>
  <si>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</si>
  <si>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</si>
  <si>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</si>
  <si>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</si>
  <si>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</si>
  <si>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</si>
  <si>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</si>
  <si>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</si>
  <si>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</si>
  <si>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</si>
  <si>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</si>
  <si>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</si>
  <si>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</si>
  <si>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</si>
  <si>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</si>
  <si>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</si>
  <si>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</si>
  <si>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</si>
  <si>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</si>
  <si>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</si>
  <si>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</si>
  <si>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</si>
  <si>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</si>
  <si>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</si>
  <si>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</si>
  <si>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</si>
  <si>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</si>
  <si>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</si>
  <si>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</si>
  <si>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</si>
  <si>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</si>
  <si>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</si>
  <si>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</si>
  <si>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</si>
  <si>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</si>
  <si>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</si>
  <si>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</si>
  <si>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</si>
  <si>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</si>
  <si>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</si>
  <si>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</si>
  <si>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</si>
  <si>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</si>
  <si>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</si>
  <si>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</si>
  <si>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</si>
  <si>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</si>
  <si>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</si>
  <si>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</si>
  <si>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</si>
  <si>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</si>
  <si>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</si>
  <si>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</si>
  <si>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</si>
  <si>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</si>
  <si>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</si>
  <si>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</si>
  <si>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</si>
  <si>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</si>
  <si>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</si>
  <si>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</si>
  <si>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</si>
  <si>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</si>
  <si>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</si>
  <si>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</si>
  <si>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</si>
  <si>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</si>
  <si>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</si>
  <si>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</si>
  <si>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</si>
  <si>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</si>
  <si>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</si>
  <si>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</si>
  <si>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</si>
  <si>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</si>
  <si>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</si>
  <si>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</si>
  <si>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</si>
  <si>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</si>
  <si>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</si>
  <si>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</si>
  <si>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</si>
  <si>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</si>
  <si>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</si>
  <si>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</si>
  <si>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</si>
  <si>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</si>
  <si>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</si>
  <si>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</si>
  <si>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</si>
  <si>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</si>
  <si>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</si>
  <si>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</si>
  <si>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</si>
  <si>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</si>
  <si>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</si>
  <si>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</si>
  <si>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</si>
  <si>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</si>
  <si>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</si>
  <si>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</si>
  <si>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</si>
  <si>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</si>
  <si>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</si>
  <si>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</si>
  <si>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</si>
  <si>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</si>
  <si>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</si>
  <si>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</si>
  <si>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</si>
  <si>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</si>
  <si>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</si>
  <si>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</si>
  <si>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</si>
  <si>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</si>
  <si>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</si>
  <si>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</si>
  <si>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</si>
  <si>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</si>
  <si>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</si>
  <si>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</si>
  <si>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</si>
  <si>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</si>
  <si>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</si>
  <si>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</si>
  <si>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</si>
  <si>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</si>
  <si>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</si>
  <si>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</si>
  <si>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</si>
  <si>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</si>
  <si>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</si>
  <si>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</si>
  <si>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</si>
  <si>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</si>
  <si>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</si>
  <si>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</si>
  <si>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</si>
  <si>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</si>
  <si>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</si>
  <si>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Відхилення,
(%)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</si>
  <si>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</si>
  <si>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</si>
  <si>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</si>
  <si>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</si>
  <si>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</si>
  <si>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</si>
  <si>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</si>
  <si>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 xml:space="preserve">Усього нарахованих виплат </t>
  </si>
  <si>
    <t>Нараховані до сплати інші податки, збори та платежі,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</si>
  <si>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</si>
  <si>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</si>
  <si>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</si>
  <si>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</si>
  <si>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</si>
  <si>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</si>
  <si>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</si>
  <si>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</si>
  <si>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</si>
  <si>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</si>
  <si>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</si>
  <si>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платежі (збір до Пенсійного фонду при купівлі службового авто)</t>
  </si>
  <si>
    <t>Надходження від отримання субсидій, дотацій</t>
  </si>
  <si>
    <t>Інші джерела (одержувачі бюджетних коштів)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</si>
  <si>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</si>
  <si>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</si>
  <si>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</si>
  <si>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</si>
  <si>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Матеріальні витрати</t>
  </si>
  <si>
    <t>Середньомісячні витрати на оплату праці одного працівника (грн), усього, у тому числі:</t>
  </si>
  <si>
    <t>-</t>
  </si>
  <si>
    <t>за 2021 рік</t>
  </si>
  <si>
    <t xml:space="preserve">минулий 2020 рік </t>
  </si>
  <si>
    <t xml:space="preserve">поточний 2021 рік </t>
  </si>
  <si>
    <t>Звітний 2021 рік</t>
  </si>
  <si>
    <t xml:space="preserve">минулий 
2020 рік </t>
  </si>
  <si>
    <t xml:space="preserve">поточний 
2021 рік </t>
  </si>
  <si>
    <t>інші витрати на збут (розшифрувати)</t>
  </si>
  <si>
    <t>інші  (штрафи, пені, неустойки) (розшифрувати)</t>
  </si>
  <si>
    <t>Факт минулого 2020 року</t>
  </si>
  <si>
    <t>План звітного 2021 року</t>
  </si>
  <si>
    <t>Факт звітного 2021 року</t>
  </si>
  <si>
    <t xml:space="preserve">минулий
 2020 рік </t>
  </si>
  <si>
    <t xml:space="preserve">Інші витрати (розшифрувати) </t>
  </si>
  <si>
    <r>
      <t xml:space="preserve">до звіту про виконання показників фінансового плану за 2021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</si>
  <si>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План
звітного 2021 року</t>
  </si>
  <si>
    <t>Факт
звітного 2021 року</t>
  </si>
  <si>
    <t>Факт
минулого 2020 року</t>
  </si>
  <si>
    <t>Заборгованість станом на 01.01.2022 року</t>
  </si>
  <si>
    <t>Заборгованість за кредитами станом на 01.01.2021 року</t>
  </si>
  <si>
    <t>Отримано залучених коштів за звітний 2021 рік</t>
  </si>
  <si>
    <t>Повернено залучених коштів за звітний 2021 рік</t>
  </si>
  <si>
    <t>факт 
минулого 2020 року</t>
  </si>
  <si>
    <t>план
звітного 2021 року</t>
  </si>
  <si>
    <t>факт
звітного 2021 року</t>
  </si>
  <si>
    <t>факт
минулого 2020 року</t>
  </si>
  <si>
    <t>7. Джерела капітальних інвестицій у 2021 році</t>
  </si>
  <si>
    <t>минулий 2020 рік</t>
  </si>
  <si>
    <t>поточний 2021 рік</t>
  </si>
  <si>
    <t>ПРО ВИКОНАННЯ ПОКАЗНИКІВ ФІНАНСОВОГО ПЛАНУ  КП "ВІННИЦЬКА ТРАНСПОРТНА КОМПАНІЯ"</t>
  </si>
  <si>
    <t>ВИТРАТНА ЧАСТИНА</t>
  </si>
  <si>
    <t>Собівартість реалізованої продукції (товарів, робіт, послуг)                                     "Інші витрати", усього, у тому числі:</t>
  </si>
  <si>
    <t>1018</t>
  </si>
  <si>
    <t>- у сфері інформації, зв'язок</t>
  </si>
  <si>
    <t>-  сферах права, бухгалтерського обліку та інше</t>
  </si>
  <si>
    <t>- у сфері освіти</t>
  </si>
  <si>
    <t>-  охорони праці, здоров’я</t>
  </si>
  <si>
    <t>- фінансове посередництво (страхування майна)</t>
  </si>
  <si>
    <t>- санітарні послуги, прибирання сміття, знищення відходів</t>
  </si>
  <si>
    <t>- індивідуальні послуги</t>
  </si>
  <si>
    <t>- по оренді</t>
  </si>
  <si>
    <t>- витрати на відрядження</t>
  </si>
  <si>
    <t>- реклама на трамваях та тролейбусах</t>
  </si>
  <si>
    <t>- автопослуги</t>
  </si>
  <si>
    <t>Гуртожиток:</t>
  </si>
  <si>
    <t xml:space="preserve">- дезінфекція </t>
  </si>
  <si>
    <t>База відпочинку:</t>
  </si>
  <si>
    <t>- медичний предрейсовий контроль</t>
  </si>
  <si>
    <t>- проведення конференції підприємств "Укрелектротранс"</t>
  </si>
  <si>
    <t>"Інші адміністративні витрати"</t>
  </si>
  <si>
    <t>1049</t>
  </si>
  <si>
    <t xml:space="preserve">Податки: </t>
  </si>
  <si>
    <t>- туристичний збір</t>
  </si>
  <si>
    <t>- податок на землю</t>
  </si>
  <si>
    <t>- транспортний податок з юридичних осіб</t>
  </si>
  <si>
    <t>- збір за першу реєстрацію транспортних засобів</t>
  </si>
  <si>
    <t>- екологічний податок</t>
  </si>
  <si>
    <t>- податок на радіочастоти</t>
  </si>
  <si>
    <t>Послуги банка за розрахункове обслуговування</t>
  </si>
  <si>
    <t>Інкасація</t>
  </si>
  <si>
    <t>Архів</t>
  </si>
  <si>
    <t>Послуги сторонніх організацій</t>
  </si>
  <si>
    <t>Охорона обєктів: трамвайне та тролейбусне депо , служба колії, енергогосподарство, автогосподарство, автобусний парк та адмінуправління (договір №185 від 18.08.2021 року)</t>
  </si>
  <si>
    <t>"Інші витрати на збут"</t>
  </si>
  <si>
    <t>1067</t>
  </si>
  <si>
    <t>Інші  -   всього:</t>
  </si>
  <si>
    <t>винагорода за реалізацію проїзних</t>
  </si>
  <si>
    <t>ремонт кіосків</t>
  </si>
  <si>
    <t>обслуговування касової техніки</t>
  </si>
  <si>
    <t>Матеріали</t>
  </si>
  <si>
    <t>"Інші операційні витрати"</t>
  </si>
  <si>
    <t>1086</t>
  </si>
  <si>
    <t>Собівартість реалізованого металобрухту</t>
  </si>
  <si>
    <t>Сплачені пені</t>
  </si>
  <si>
    <t>Інформаційні послуги (WiFi, література)</t>
  </si>
  <si>
    <t>Пільгові пенсії</t>
  </si>
  <si>
    <t>Членські внески</t>
  </si>
  <si>
    <t>Матеріальна допомога ветеранам</t>
  </si>
  <si>
    <t>Відрахування з фонду заробітної плати на культурно-масову роботу (0,3%)</t>
  </si>
  <si>
    <t>Ритуальні послуги</t>
  </si>
  <si>
    <t>Послуги автомобільного транспорту</t>
  </si>
  <si>
    <t>Витрати на псування та крадіжка</t>
  </si>
  <si>
    <t>Знецінення матеріалів</t>
  </si>
  <si>
    <t>Повернення в дохід загального фонду місцевого бюджету м.Вінниці незаконної Державної допомоги, визнанної недопустимою для конкуренції, згідно рішення АМКУ від 20.11.2018р. №652-р</t>
  </si>
  <si>
    <t>"Фінансові витрати"</t>
  </si>
  <si>
    <t>1140</t>
  </si>
  <si>
    <t>Відсотки за отримані кредити в тому числі:</t>
  </si>
  <si>
    <t>КП "Фонд муніципальних інвестицій"</t>
  </si>
  <si>
    <t>АБ "Укргазбанк"</t>
  </si>
  <si>
    <t>Погашення лізингових платежів в тому числі:</t>
  </si>
  <si>
    <t>ТОВ "ФК" "Муніципальні платіжні системи ""</t>
  </si>
  <si>
    <t>АБ "Укргазбанк" (комісія та відсотки)</t>
  </si>
  <si>
    <t>"Інші витрати"</t>
  </si>
  <si>
    <t>1162</t>
  </si>
  <si>
    <t>Списання необоротних активів</t>
  </si>
  <si>
    <t>Відшкодування втрат після ДТП</t>
  </si>
  <si>
    <t>Відрядження, проживання в готелі</t>
  </si>
  <si>
    <t>Послуги з харчування представникам заводу Отокар на проведення пуско-налагоджувальних робіт та навчання персоналу по технічному обслуговуванню автобусів</t>
  </si>
  <si>
    <t>ДОХІДНА ЧАСТИНА</t>
  </si>
  <si>
    <t>"Інші операційні доходи"</t>
  </si>
  <si>
    <t>1073</t>
  </si>
  <si>
    <t>Дохід від реалізації оборотних активів, від оприбуткування товарно-матеріальних цінностей</t>
  </si>
  <si>
    <t>Дохід від оренди</t>
  </si>
  <si>
    <t>Компенсація пільгового проїзду окремих категорій громадян МЕТ електротранспортом</t>
  </si>
  <si>
    <t>Компенсація пільгового проїзду окремих категорій громадян автобусом</t>
  </si>
  <si>
    <t>Кошти бюджету, в т.ч.:</t>
  </si>
  <si>
    <t>- на компенсацію пільгового проїзду учнів</t>
  </si>
  <si>
    <t>- на компенсацію пільгового проїзду  студентів</t>
  </si>
  <si>
    <t>- на компенсацію за безоплатний  проїзд багатодітних сімей</t>
  </si>
  <si>
    <t>- на оплату фактично виконаних обсягів  пасажироперевезень міським електричним транспортом</t>
  </si>
  <si>
    <t xml:space="preserve">- фінансова підтримка-дотація на покриття збитків КП "ВТК" від надання послуг пасажирським автомобільним транспортом загального користування </t>
  </si>
  <si>
    <t>- на оплату фактично виконаних обсягів  пасажироперевезень автомобільним транспортом загального користування у звичайному режимі руху</t>
  </si>
  <si>
    <t xml:space="preserve"> - компенсація за пільговий проїзд окремих категорій громадян Вінницької міської територіальної громади міським електротранспортом</t>
  </si>
  <si>
    <t xml:space="preserve"> - компенсація за пільговий проїзд окремих категорій громадян Вінницької міської територіальної громади автобусами загального користування</t>
  </si>
  <si>
    <t>Відшкодування витрат на розвиток виробництва</t>
  </si>
  <si>
    <t>Непокриті фінансуванням витрати для беззбиткової роботи підприємства</t>
  </si>
  <si>
    <t>"Інші фінансові доходи"</t>
  </si>
  <si>
    <t>1130</t>
  </si>
  <si>
    <t>Відсотки, одержані від банку за розміщення коштів на депозитному рахунку</t>
  </si>
  <si>
    <t>"Інші доходи"</t>
  </si>
  <si>
    <t>1152</t>
  </si>
  <si>
    <t>- оприбуткований металобрухт від розборки</t>
  </si>
  <si>
    <t>- амортизація безкоштовно отриманих основних засобів</t>
  </si>
  <si>
    <t>- амортизація безоплатно отриманих активів (швейцарські трамваї та запасні частини до них)</t>
  </si>
  <si>
    <t>- інші,    в т.ч.</t>
  </si>
  <si>
    <t>- новорічна ялинка</t>
  </si>
  <si>
    <t>-  навчання  в центрі зайнятості та навчання водіїв</t>
  </si>
  <si>
    <t>- дохід від маршрутних таксі (згідно договору про співпрацю з метою визначення результатів функціонування автобусних маршрутів)</t>
  </si>
  <si>
    <t>- оренда приміщень</t>
  </si>
  <si>
    <t>- відшкодування збитку при ДТП</t>
  </si>
  <si>
    <t>- порушення умов тендеру</t>
  </si>
  <si>
    <t>Генеральний директор КП "ВТК"</t>
  </si>
  <si>
    <t>М.П.Луценко</t>
  </si>
  <si>
    <t xml:space="preserve">                   (підпис)</t>
  </si>
  <si>
    <t>комунальними підприємствами, що є власністю Вінницької міської територіальної громади до бюджету Вінницької міської ТГ</t>
  </si>
  <si>
    <t>Інші цілі (націнка на продукти в їдальнях КП "ВТК")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</si>
  <si>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</si>
  <si>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податки та збори (екологічний податок)</t>
  </si>
  <si>
    <t>інші податки, збори та платежі (туристичний збір, радіочастоти)</t>
  </si>
  <si>
    <t>- автобуси</t>
  </si>
  <si>
    <t>- автомобіль аварійно-ремонтний контактної мережі</t>
  </si>
  <si>
    <t>- автомобіль вантажний Renault</t>
  </si>
  <si>
    <t>- автомобіль легковий МАЗ</t>
  </si>
  <si>
    <t>- будиночок панельний (база відпочинку "Луна")</t>
  </si>
  <si>
    <t>- будівельні матеріали (база відпочинку "Луна")</t>
  </si>
  <si>
    <t>- будівля охорони</t>
  </si>
  <si>
    <t>- віброплита служби колії</t>
  </si>
  <si>
    <t>- водонагрівач</t>
  </si>
  <si>
    <t>- ворота металеві (б/в "Луна")</t>
  </si>
  <si>
    <t>- встановлення геліонагрівачів води в трамвайному і тролейбусному депо</t>
  </si>
  <si>
    <t>- газового котла опалення для котельні трамвайного депо 400кВт</t>
  </si>
  <si>
    <t>- дискове сховище</t>
  </si>
  <si>
    <t>- додаткові станції велопрокату</t>
  </si>
  <si>
    <t>- ємність для води</t>
  </si>
  <si>
    <t>- зварювальний апарат служби колії та автогосподарства</t>
  </si>
  <si>
    <t>- компресор повітряний (Сабарів)</t>
  </si>
  <si>
    <t>- компресор стаціонарний (тролейбусне депо)</t>
  </si>
  <si>
    <t>- кондиціонер в трамвай (2шт.)</t>
  </si>
  <si>
    <t>- котел електричний</t>
  </si>
  <si>
    <t>- металопластикові вікна</t>
  </si>
  <si>
    <t>- мийка (Сабарів)</t>
  </si>
  <si>
    <t>- міні АТС</t>
  </si>
  <si>
    <t>- мінінасосна станція (2шт.)</t>
  </si>
  <si>
    <t>- міських газових автобусів великої місткості (10шт.), 50% вартості</t>
  </si>
  <si>
    <t>- морозильна камера</t>
  </si>
  <si>
    <t>- ноутбук</t>
  </si>
  <si>
    <t xml:space="preserve">- принтер </t>
  </si>
  <si>
    <t>- пристрій для зарядки акамулятора</t>
  </si>
  <si>
    <t>- розробка та впровадження автоматизованої системи комерційного обліку електроенергії АСКОЕ</t>
  </si>
  <si>
    <t>- сигналізація</t>
  </si>
  <si>
    <t>- система автоматичного підрахунку та обліку пасажирів</t>
  </si>
  <si>
    <t>- система відеоспостереження</t>
  </si>
  <si>
    <t>- система підвищення тиску (2шт., Сабарів)</t>
  </si>
  <si>
    <t>- системний блок</t>
  </si>
  <si>
    <t>- токарно-гвинторізний станок моделі типу 16К20</t>
  </si>
  <si>
    <t>- трансформатор</t>
  </si>
  <si>
    <t>- тренажер база відпочинку "Луна" (2шт.)</t>
  </si>
  <si>
    <t>- тролейбус (кузов)</t>
  </si>
  <si>
    <t>- холодильник (база відпочинку "Луна")</t>
  </si>
  <si>
    <t>- щіточних елементів для миючих портативних машин</t>
  </si>
  <si>
    <t>програмне забезпечення</t>
  </si>
  <si>
    <t>реконструкція трамвайних колій на плитах по вул. Соборна (криві в районі McDonalds) в двох напрямках руху</t>
  </si>
  <si>
    <t>капітальний ремонт, усього, у тому числі:</t>
  </si>
  <si>
    <t>- капітальний ремонт будиночків</t>
  </si>
  <si>
    <t>- капітальний ремонт контактної мережі трамвая по вул.Пирогова (ТП-3) - лік.Пирогова, р.Урожай-вул.Дачна (1,5км)</t>
  </si>
  <si>
    <t>- капітальний ремонт контактної мережі трамвая по вул.Янгеля від вул.Замостянська до вул.Тімірязєва (0,1км), вул.Некрасова-мун.ринок (0,5км)</t>
  </si>
  <si>
    <t>- капітальний ремонт контактної мережі тролейбуса перехрестя вул.Соборна - вул.Театральна (0,15км)</t>
  </si>
  <si>
    <t>- капітальний ремонт контактної мережі тролейбуса пл.Г.Чорнобиля (поворот з вул.Київська на ценральний міст) (0,2км)</t>
  </si>
  <si>
    <t>- капітальний ремонт ТП-3</t>
  </si>
  <si>
    <t>- капітально-відновлювальний ремонт автобусів</t>
  </si>
  <si>
    <t>-капітальний ремонт мереж теплопостачання гуртожитків по вул.Магістрацька</t>
  </si>
  <si>
    <t>-капітальний ремонт трамвайної колії крива вул.Нансена і вул.Коцюбинського в обох напрямках   ( 0,4км)</t>
  </si>
  <si>
    <t>-капітальний ремонт трамвайної колії по вул.Соборній ( від Костелу до собору ПЦУ) (0,075км)</t>
  </si>
  <si>
    <t>-технічне переоснащення ТП-20 (ТП-"Західна")</t>
  </si>
  <si>
    <t>Комунальне підприємство "Вінницька транспортна компанія"</t>
  </si>
  <si>
    <t>(найменування підприємства)</t>
  </si>
  <si>
    <t>Дохід від реалізації проїзних документів</t>
  </si>
  <si>
    <t>Дохід від реалізації послуг</t>
  </si>
  <si>
    <t>Дохід від реалізації в їдальні № 118</t>
  </si>
  <si>
    <t>Дохід від реалізації в їдальні № 219</t>
  </si>
  <si>
    <t>Дохід від реалізації послуг житла</t>
  </si>
  <si>
    <t>Дохід від реалізації послуг по базі відпочинку</t>
  </si>
  <si>
    <t>DAWOO LANOS АВ 5532 ВВ</t>
  </si>
  <si>
    <t>ВАЗ 21-07 АВ 4896 СТ</t>
  </si>
  <si>
    <t>ZAZ VIDA АВ 55-57 ВХ</t>
  </si>
  <si>
    <t>ZAZ VIDA АВ 58-32 CМ</t>
  </si>
  <si>
    <t xml:space="preserve">Нісан Ліф (електро) </t>
  </si>
  <si>
    <t>Службові поїздки, відрядження</t>
  </si>
  <si>
    <t>придбання (виготовленняі) основних засобів усього, у тому числі:</t>
  </si>
  <si>
    <t>токарно-гвинторізний станок моделі типу 16К20</t>
  </si>
  <si>
    <t>міських газових автобусів великої місткості (10шт.) 50% вартості</t>
  </si>
  <si>
    <t>газового котла опалення для котельні трамвайного депо 400кВт</t>
  </si>
  <si>
    <t>модернізація, модифікація (добудова, дообладнання, реконструкція) основних засобів усього, у тому числі:</t>
  </si>
  <si>
    <t>виробництво тролейбусів з автономним ходом до 20км, 50% вартості (8 шт.)</t>
  </si>
  <si>
    <t>капітальний ремонт усього, у тому числі:</t>
  </si>
  <si>
    <t>капітальний ремонт контактної мережі тролейбуса перехрестя вул.Соборна-вул.Театральна (0,15км)</t>
  </si>
  <si>
    <t>капітальний ремонт контактної мережі тролейбуса пл.Г.Чорнобиля (поворот з вул.Київська на центральний міст) (0,2км)</t>
  </si>
  <si>
    <t>капітальний ремонт контакної мережі трамвая по вул.Янгеля від вул.Замостянська до вул.Тімірязєва (0,1км), вул. Некрасова - мун.ринок (0,5км)</t>
  </si>
  <si>
    <t>капітальний ремонт контактної мережі трамвая по вул.Пирогова (ТП-3) - лік.Пирогова, р.Урожай - вул.Дачна (1,5км)</t>
  </si>
  <si>
    <t>капітальний ремонт трамвайної колії вул.Нансена і вул.Коцюбинського в обох напрямках (0,4км)</t>
  </si>
  <si>
    <t>капітальний ремонт трамвайної колії по вул.Соборна (від Костелу до собору ПЦУ) (0,075км)</t>
  </si>
  <si>
    <t>капітально-відновлювальний ремонт автобусів</t>
  </si>
  <si>
    <t>придбання додаткових станцій велопрокату</t>
  </si>
  <si>
    <t>розробка та впровадження автоматизованої системи комерційного обліку електроенергії АСКОЕ</t>
  </si>
  <si>
    <t>міських газових автобусів великої місткості (10шт.), 50% вартості</t>
  </si>
  <si>
    <t>погашення основних платежів договору фінансового лізингу з придбання міських газових автобусів великої місткості (10шт.)</t>
  </si>
  <si>
    <t xml:space="preserve">погашення основних платежів договору кредитування на виробництво тролейбусів з автономним ходом </t>
  </si>
  <si>
    <t>влаштування одноагрегатної ТП (1410кВа) та продовження контактної мережі тролейбуса по вул.Ватутіна від розворотного кільця "вул.Лугова" до СТО в м.Вінниці</t>
  </si>
  <si>
    <t>виготовлення ПКД на реконструкцію трамвайних колій по вул. Хмельницьке шосе (перехрестя з вулицями 600-річчя; Юності та В. Інтернаціоналістів)</t>
  </si>
  <si>
    <t>виробництво тролейбусів "Вінниця"</t>
  </si>
  <si>
    <t>капітальний ремонт контактної мережі тролейбуса</t>
  </si>
  <si>
    <t xml:space="preserve">капітальний ремонт контактної мережі трамвая </t>
  </si>
  <si>
    <t>встановлення додаткової опори контактної мережі на пл.Героїв Чорнобиля</t>
  </si>
  <si>
    <t>капітальний ремонт трамвайних колій та асфальтного покриття на прирейкових та міжколійних ділянках</t>
  </si>
  <si>
    <t>капітальний ремонт ТП-3</t>
  </si>
  <si>
    <t>капітально-відновлювальні роботи автобусів</t>
  </si>
  <si>
    <t>придбання спеціалізованого обладнання для зварювання трамвайних колій</t>
  </si>
  <si>
    <t>придбання машини для ремонту контактної мережі</t>
  </si>
  <si>
    <t>придбання щіточних елементів для миючих портативних машин</t>
  </si>
  <si>
    <t>встановлення геліонагрівачів води в трамвайному і тролейбусному депо</t>
  </si>
  <si>
    <t>Генеральний директор КП"ВТК"</t>
  </si>
  <si>
    <t>М. П. Луценко</t>
  </si>
  <si>
    <t>поповнення обігових коштів підприємства:</t>
  </si>
  <si>
    <t xml:space="preserve"> АБ "Укргазбанк"</t>
  </si>
  <si>
    <t>фінансовий лізинг</t>
  </si>
  <si>
    <t>кредит (позика)</t>
  </si>
  <si>
    <t>комісія</t>
  </si>
  <si>
    <t>відсоткова ставка; 12,5%</t>
  </si>
  <si>
    <t>11.12.2018/10.12.2023</t>
  </si>
  <si>
    <t>02.10.2018/01.10.2021</t>
  </si>
  <si>
    <t>12.12.2018/11.12.2021</t>
  </si>
  <si>
    <t>05.03.2019/04.03.2024</t>
  </si>
  <si>
    <t>28.05.2019/28.06.2020</t>
  </si>
  <si>
    <t>23.02.2021/22.02.2026</t>
  </si>
  <si>
    <t>29.06.2021/28.06.2026</t>
  </si>
  <si>
    <t>не передбачає</t>
  </si>
  <si>
    <t>6 тролейбусів з автономним ходом, 8 автобусів, 5 трамваїв VinWay</t>
  </si>
  <si>
    <t>АБ "Укргазбанк" фінансовий лізинг дог.194/2021/ВОД-МСБ-ФЛ</t>
  </si>
  <si>
    <t>АБ "Укргазбанк" договір №1112/2021/ВОД-МСБ</t>
  </si>
  <si>
    <t>фінансовий лізинг дог.4</t>
  </si>
  <si>
    <t xml:space="preserve">фінансовий лізинг дог.9 </t>
  </si>
  <si>
    <t>фінансовий лізинг дог.7</t>
  </si>
  <si>
    <t>придбання (виробництво) основних засобів, усього, у тому числі:</t>
  </si>
  <si>
    <t>- система пожежної сигналізації (Сабарів)</t>
  </si>
  <si>
    <t>- спеціалізоване обладнання для зварювання трамвайних колій</t>
  </si>
  <si>
    <t>модернізація, модифікація (добудова, дообладнання, реконструкція, виробництво) основних засобів, усього, у тому числі:</t>
  </si>
  <si>
    <t>- встановлення додаткової опори контакної мережі на пл.Героїв Чорнобиля</t>
  </si>
  <si>
    <t>-капітальний ремонт мереж теплопостачання гуртожитків по вул.Магістратська</t>
  </si>
  <si>
    <t>Цільове фінансування, усього, у тому числі:</t>
  </si>
  <si>
    <t>Компенсація пільгового проїзду окремих категорій громадян МЕТ</t>
  </si>
  <si>
    <t>Компенсація пільгового проїзду громадян автобусом</t>
  </si>
  <si>
    <t>3.1</t>
  </si>
  <si>
    <t>3.2</t>
  </si>
  <si>
    <t>- на компенсацію пільгового проїзду студентів</t>
  </si>
  <si>
    <t>3.3</t>
  </si>
  <si>
    <t>- на компенсацію за безоплатний проїзд багатодітних сімей</t>
  </si>
  <si>
    <t>3.4</t>
  </si>
  <si>
    <t>- на оплату фактично виконаних обсягів пасажироперевезень міським електричним транспортом</t>
  </si>
  <si>
    <t>3.5</t>
  </si>
  <si>
    <t>3.6</t>
  </si>
  <si>
    <t>- фінансова підтримка-дотація на покриття збитків КП "ВТК" на надання послуг пасажирським автомобільним транспортом загального користування</t>
  </si>
  <si>
    <t>- на оплату фактично виконаних обсягів пасажироперевезень автомобільним транспортом загального користування у звичайному режимі руху</t>
  </si>
  <si>
    <t>3.7</t>
  </si>
  <si>
    <t>3.8</t>
  </si>
  <si>
    <t>Непокритті фінансуванням витрати для беззбиткової роботи підприємства</t>
  </si>
  <si>
    <t>Відшкодування лікарняних фондом соціального страхування</t>
  </si>
  <si>
    <t>Екологічний податок</t>
  </si>
  <si>
    <t>Туристичний збір</t>
  </si>
  <si>
    <t>Радіочастоти</t>
  </si>
  <si>
    <t>Відшкодування по виконавчим листам (аліменти)</t>
  </si>
  <si>
    <t>Витрати по  відрядженням</t>
  </si>
  <si>
    <t>Послуги звʼязку (інтернет, телефон, WiFi)</t>
  </si>
  <si>
    <t>Витрати на навчання</t>
  </si>
  <si>
    <t>Послуги сторонніх організацій (гідроізоляція, атестація робочих місць, архів, техобслуговування автомобілів, газопостачання, виготовлення обладнання та ін.)</t>
  </si>
  <si>
    <t>Метрологічне обслуговування приладів</t>
  </si>
  <si>
    <t>Витрати на рекламу (радіо, газети, телебачення)</t>
  </si>
  <si>
    <t>Витрати на медичний огляд працівників</t>
  </si>
  <si>
    <t>Оренда землі в с. Сичавка</t>
  </si>
  <si>
    <t>Модернізація та обслуговування обчислювальної техніки та програм</t>
  </si>
  <si>
    <t>Відшкодування членських внесків організаціям (Корпорація)</t>
  </si>
  <si>
    <t>Виплата пільгових пенсій</t>
  </si>
  <si>
    <t>Охорона по договору</t>
  </si>
  <si>
    <t>Фінансове посередництво (страхування майна)</t>
  </si>
  <si>
    <t>Відшкодування збитків при аваріях, ДТП</t>
  </si>
  <si>
    <t>Витрати по дератизації, дезінфекції, утилізація</t>
  </si>
  <si>
    <t>Технічний огляд транспортних засобів та ремонт</t>
  </si>
  <si>
    <t>Послуги по оренді диспетчерських пунктів</t>
  </si>
  <si>
    <t>Матеріальна допомога</t>
  </si>
  <si>
    <t>Інші:</t>
  </si>
  <si>
    <t>- виготовлення інформаційних систем</t>
  </si>
  <si>
    <t>- обстеження вагонів</t>
  </si>
  <si>
    <t>- ремонт переїздів трамвайної колії з проїжджою частиною доріг, асфальтування міжколійних ділянок</t>
  </si>
  <si>
    <t>- переоснащення ТП</t>
  </si>
  <si>
    <t>- ремонт будівель</t>
  </si>
  <si>
    <t>- проектні роботи</t>
  </si>
  <si>
    <t>- страхова компанія "Місто"</t>
  </si>
  <si>
    <t>- ремонт двигунів (тролейбусів, трамваїв, автобусів)</t>
  </si>
  <si>
    <t>- мийка вагонів</t>
  </si>
  <si>
    <t>- ВНТУ (база підрахунку пасажирів)</t>
  </si>
  <si>
    <t>- модернізація тролейбусів (виробництво тролейбусів з автономним ходом)</t>
  </si>
  <si>
    <t>- переобладнання спецавто СЕГ</t>
  </si>
  <si>
    <t>- розробка та впровадження автоматизованої системи комерційного обліку електроенергії (АСКОЕ)</t>
  </si>
  <si>
    <t>- Обком, профком (профспілкові внески)</t>
  </si>
  <si>
    <t>- будівництво ТП-19 по вул.Стрілецька, б/н (біля будинку №4)</t>
  </si>
  <si>
    <t>придбання (створення, виробництво) основних засобів,  усього, у тому числі:</t>
  </si>
  <si>
    <t>- автобусів</t>
  </si>
  <si>
    <t>- автомийка (Сабарів, будівля)</t>
  </si>
  <si>
    <t>- автомобіль МАЗ</t>
  </si>
  <si>
    <t>- автомомбіль аварійно-ремонтний контактної мережі</t>
  </si>
  <si>
    <t>- ворота металеві база відпочинку "Луна"</t>
  </si>
  <si>
    <t>- додаткових станцій велопрокату</t>
  </si>
  <si>
    <t>- мийна машина</t>
  </si>
  <si>
    <t>- принтер</t>
  </si>
  <si>
    <t>- сигналізація (адмін.будівля)</t>
  </si>
  <si>
    <t>- сонячний вакуумний колектор (2шт.)</t>
  </si>
  <si>
    <t>- спеціальне обладнання для зварювання трамвайних колій</t>
  </si>
  <si>
    <t>- холодильник база відпочинку "Луна"</t>
  </si>
  <si>
    <t>1</t>
  </si>
  <si>
    <t xml:space="preserve">модернізація, модифікація (добудова, дообладнання, реконструкція, виробництво) основних засобів, усього, у тому числі: </t>
  </si>
  <si>
    <t>будиночки база відпочинку "Луна"</t>
  </si>
  <si>
    <t>2</t>
  </si>
  <si>
    <t>3</t>
  </si>
  <si>
    <t>виробництво тролейбусів з автономним ходом до 20км, 50% вартості</t>
  </si>
  <si>
    <t>4</t>
  </si>
  <si>
    <t>5</t>
  </si>
  <si>
    <t>6</t>
  </si>
  <si>
    <t>модернізація трамвайних вагонів     T-4UA (1од.)</t>
  </si>
  <si>
    <t>7</t>
  </si>
  <si>
    <t>модернізація трамвайного вагона     КT-4UA (1од.)</t>
  </si>
  <si>
    <t xml:space="preserve">капітальний ремонт, усього, у тому числі: </t>
  </si>
  <si>
    <t>- технічне переоснащення ТП-20 (ТП "Західна")</t>
  </si>
  <si>
    <t>8</t>
  </si>
  <si>
    <t>-капітальний ремонт трамвайної колії крива вул.Нансена і вул.Коцюбинського в обох напрямках (B1270,4км)</t>
  </si>
  <si>
    <t>Відсотки одержані від депозиту</t>
  </si>
  <si>
    <t>АБ "Укргазбанк" (відсотки та комісія)</t>
  </si>
  <si>
    <t>› оплата відряджень</t>
  </si>
  <si>
    <t xml:space="preserve">› податок на землю </t>
  </si>
  <si>
    <t>› дератизація і медичний огляд</t>
  </si>
  <si>
    <t>Їдальні:</t>
  </si>
  <si>
    <t>Повернення коштів з акту перевірки</t>
  </si>
  <si>
    <t>Дохід від списання кредиторської заборгованості</t>
  </si>
  <si>
    <t>Відшкодування ДТП</t>
  </si>
  <si>
    <t>- винагорода муніципальним платіжним системам</t>
  </si>
  <si>
    <t>- фарбування вагонів, автобусів</t>
  </si>
  <si>
    <t>- пожежна сигналізація</t>
  </si>
  <si>
    <t>Витрачання на оплату авансів</t>
  </si>
  <si>
    <t>влаштування одноагрегатної ТП (1410кВа) та продовження контактної мережі тролейбуса по вул.Ватутіна від розворотного кільця "вул.Лугова" до СТО в м.Вінниці.</t>
  </si>
  <si>
    <t>МКП "Вінницький фонд муніципальних інвестицій</t>
  </si>
  <si>
    <t>відсоткова ставка: 7%</t>
  </si>
  <si>
    <t>23.12.2021/22.12.2022</t>
  </si>
  <si>
    <t>порука керівника</t>
  </si>
  <si>
    <t>тис. грн</t>
  </si>
  <si>
    <t>- безоплатно отримані активи</t>
  </si>
  <si>
    <t xml:space="preserve">організаційно-технічні послуги </t>
  </si>
  <si>
    <t xml:space="preserve">Витрати, що здійснюються для підтримання об’єкта в робочому стані (проведення ремонту, технічного огляду, нагляду, обслуговування тощо) </t>
  </si>
  <si>
    <t>Порушення умов тендеру</t>
  </si>
  <si>
    <t>- ТП 6/2</t>
  </si>
  <si>
    <t>- паркан на базі відпочинку "Луна"</t>
  </si>
  <si>
    <t>- кіоск</t>
  </si>
  <si>
    <t>ТП 6</t>
  </si>
  <si>
    <t>інші джерела (бюджетні кошти)</t>
  </si>
  <si>
    <t>введено в експлуатацію</t>
  </si>
  <si>
    <t>Будівництво ТП-6/2 по вул.Ватутіна</t>
  </si>
  <si>
    <t>2020-2021</t>
  </si>
  <si>
    <t>кіоск</t>
  </si>
  <si>
    <t>ноутбук</t>
  </si>
  <si>
    <t>система пожежної сигналізації (трамвайне депо)</t>
  </si>
  <si>
    <t>ТП 6  електрообладнання</t>
  </si>
  <si>
    <t>ТП 6/2  електрообладнання</t>
  </si>
  <si>
    <t>- ТП 6  електрообладнання</t>
  </si>
  <si>
    <t>- ТП 6/2  електрообладнання</t>
  </si>
  <si>
    <t>тролейбус (кузов)</t>
  </si>
  <si>
    <t>ТП 6/2</t>
  </si>
  <si>
    <t xml:space="preserve">Комунальне підприємство   </t>
  </si>
  <si>
    <t>м. Вінниця</t>
  </si>
  <si>
    <t>07094 Вінницька міська рада</t>
  </si>
  <si>
    <t>міський електро- та автотранспорт</t>
  </si>
  <si>
    <t>32 Комунальна</t>
  </si>
  <si>
    <t>21036, м. Вінниця, вул. Хмельницьке шосе, буд. 29</t>
  </si>
  <si>
    <t>61-16-93, 55-09-20</t>
  </si>
  <si>
    <t>Михайло Петрович Луценко</t>
  </si>
  <si>
    <t>0510100000</t>
  </si>
  <si>
    <t>49.31</t>
  </si>
  <si>
    <t>Стандарти звітності П(с)БОУ</t>
  </si>
  <si>
    <t>Стандарти звітності МСФЗ</t>
  </si>
  <si>
    <t>Генеральтний директор КП "ВТК"</t>
  </si>
  <si>
    <t>- сигналізація пожежна (трамвайне депо)</t>
  </si>
  <si>
    <t>модернізація системи АСКОЕ</t>
  </si>
  <si>
    <t>- тролейбус (кузов), 8</t>
  </si>
  <si>
    <t>без пільгових пенсій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</si>
</sst>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_-* #,##0\ _₴_-;\-* #,##0\ _₴_-;_-* &quot;-&quot;?\ _₴_-;_-@_-"/>
  </numFmts>
  <fonts count="10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55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8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  <xf numFmtId="0" fontId="2" fillId="0" borderId="0"/>
  </cellStyleXfs>
  <cellXfs count="725">
    <xf numFmtId="0" fontId="0" fillId="0" borderId="0" xfId="0"/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5" fillId="0" borderId="0" xfId="0" applyFont="1" applyFill="1"/>
    <xf numFmtId="0" fontId="69" fillId="0" borderId="0" xfId="0" applyFont="1" applyFill="1"/>
    <xf numFmtId="0" fontId="72" fillId="29" borderId="3" xfId="0" applyFont="1" applyFill="1" applyBorder="1" applyAlignment="1" applyProtection="1">
      <alignment horizontal="left" vertical="center" wrapText="1"/>
      <protection locked="0"/>
    </xf>
    <xf numFmtId="0" fontId="72" fillId="29" borderId="14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246" applyFont="1" applyFill="1" applyBorder="1" applyAlignment="1">
      <alignment horizontal="center" vertical="center"/>
    </xf>
    <xf numFmtId="0" fontId="5" fillId="29" borderId="0" xfId="246" applyFont="1" applyFill="1" applyBorder="1" applyAlignment="1">
      <alignment vertical="center" wrapText="1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3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 wrapText="1" shrinkToFit="1"/>
    </xf>
    <xf numFmtId="0" fontId="9" fillId="29" borderId="0" xfId="0" applyFont="1" applyFill="1" applyAlignment="1">
      <alignment vertical="center"/>
    </xf>
    <xf numFmtId="0" fontId="7" fillId="29" borderId="0" xfId="0" applyFont="1" applyFill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0" fontId="5" fillId="29" borderId="0" xfId="0" applyFont="1" applyFill="1" applyAlignment="1">
      <alignment horizontal="right" vertical="center"/>
    </xf>
    <xf numFmtId="0" fontId="8" fillId="29" borderId="0" xfId="0" applyFont="1" applyFill="1" applyBorder="1" applyAlignment="1">
      <alignment vertical="center"/>
    </xf>
    <xf numFmtId="170" fontId="5" fillId="29" borderId="0" xfId="0" applyNumberFormat="1" applyFont="1" applyFill="1" applyAlignment="1">
      <alignment vertical="center"/>
    </xf>
    <xf numFmtId="3" fontId="5" fillId="29" borderId="18" xfId="0" applyNumberFormat="1" applyFont="1" applyFill="1" applyBorder="1" applyAlignment="1">
      <alignment vertical="center" wrapText="1"/>
    </xf>
    <xf numFmtId="169" fontId="4" fillId="29" borderId="0" xfId="0" applyNumberFormat="1" applyFont="1" applyFill="1" applyBorder="1" applyAlignment="1">
      <alignment horizontal="right" vertical="center" wrapText="1"/>
    </xf>
    <xf numFmtId="169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/>
    </xf>
    <xf numFmtId="170" fontId="4" fillId="29" borderId="0" xfId="0" applyNumberFormat="1" applyFont="1" applyFill="1" applyBorder="1" applyAlignment="1">
      <alignment vertical="center"/>
    </xf>
    <xf numFmtId="0" fontId="4" fillId="29" borderId="0" xfId="0" applyFont="1" applyFill="1" applyBorder="1" applyAlignment="1">
      <alignment horizontal="left" vertical="center"/>
    </xf>
    <xf numFmtId="0" fontId="14" fillId="29" borderId="0" xfId="0" applyFont="1" applyFill="1" applyAlignment="1">
      <alignment vertical="center"/>
    </xf>
    <xf numFmtId="0" fontId="14" fillId="29" borderId="0" xfId="0" applyFont="1" applyFill="1"/>
    <xf numFmtId="0" fontId="14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0" fontId="4" fillId="29" borderId="0" xfId="0" applyFont="1" applyFill="1" applyAlignment="1">
      <alignment horizontal="right" vertical="center"/>
    </xf>
    <xf numFmtId="0" fontId="6" fillId="29" borderId="0" xfId="0" applyFont="1" applyFill="1" applyAlignment="1">
      <alignment vertical="center"/>
    </xf>
    <xf numFmtId="0" fontId="0" fillId="29" borderId="0" xfId="0" applyFill="1"/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0" fontId="73" fillId="29" borderId="3" xfId="0" quotePrefix="1" applyFont="1" applyFill="1" applyBorder="1" applyAlignment="1">
      <alignment horizontal="center" vertical="center"/>
    </xf>
    <xf numFmtId="173" fontId="73" fillId="29" borderId="3" xfId="0" applyNumberFormat="1" applyFont="1" applyFill="1" applyBorder="1" applyAlignment="1">
      <alignment horizontal="center" vertical="center" wrapText="1"/>
    </xf>
    <xf numFmtId="49" fontId="73" fillId="29" borderId="3" xfId="0" quotePrefix="1" applyNumberFormat="1" applyFont="1" applyFill="1" applyBorder="1" applyAlignment="1">
      <alignment horizontal="left" vertical="center" wrapText="1"/>
    </xf>
    <xf numFmtId="0" fontId="78" fillId="29" borderId="3" xfId="0" quotePrefix="1" applyFont="1" applyFill="1" applyBorder="1" applyAlignment="1">
      <alignment horizontal="center" vertical="center"/>
    </xf>
    <xf numFmtId="173" fontId="78" fillId="29" borderId="3" xfId="0" applyNumberFormat="1" applyFont="1" applyFill="1" applyBorder="1" applyAlignment="1">
      <alignment horizontal="center" vertical="center" wrapText="1"/>
    </xf>
    <xf numFmtId="169" fontId="78" fillId="29" borderId="3" xfId="207" applyNumberFormat="1" applyFont="1" applyFill="1" applyBorder="1" applyAlignment="1">
      <alignment horizontal="right" vertical="center" wrapText="1"/>
    </xf>
    <xf numFmtId="49" fontId="78" fillId="29" borderId="3" xfId="0" quotePrefix="1" applyNumberFormat="1" applyFont="1" applyFill="1" applyBorder="1" applyAlignment="1">
      <alignment horizontal="left" vertical="center" wrapText="1"/>
    </xf>
    <xf numFmtId="0" fontId="73" fillId="29" borderId="0" xfId="0" applyFont="1" applyFill="1" applyBorder="1" applyAlignment="1">
      <alignment horizontal="left" vertical="center" wrapText="1"/>
    </xf>
    <xf numFmtId="0" fontId="73" fillId="29" borderId="0" xfId="0" quotePrefix="1" applyFont="1" applyFill="1" applyBorder="1" applyAlignment="1">
      <alignment horizontal="center"/>
    </xf>
    <xf numFmtId="0" fontId="73" fillId="0" borderId="0" xfId="0" applyFont="1" applyFill="1" applyAlignment="1">
      <alignment horizontal="right" vertical="center"/>
    </xf>
    <xf numFmtId="0" fontId="78" fillId="29" borderId="19" xfId="0" applyFont="1" applyFill="1" applyBorder="1" applyAlignment="1">
      <alignment horizontal="left" vertical="center" wrapText="1"/>
    </xf>
    <xf numFmtId="0" fontId="74" fillId="29" borderId="15" xfId="246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3" fillId="29" borderId="17" xfId="246" applyFont="1" applyFill="1" applyBorder="1" applyAlignment="1">
      <alignment horizontal="left" vertical="center" wrapText="1"/>
    </xf>
    <xf numFmtId="0" fontId="73" fillId="29" borderId="16" xfId="246" applyFont="1" applyFill="1" applyBorder="1" applyAlignment="1">
      <alignment horizontal="left" vertical="center" wrapText="1"/>
    </xf>
    <xf numFmtId="0" fontId="73" fillId="29" borderId="19" xfId="0" applyFont="1" applyFill="1" applyBorder="1" applyAlignment="1">
      <alignment horizontal="left" vertical="center" wrapText="1"/>
    </xf>
    <xf numFmtId="0" fontId="73" fillId="29" borderId="19" xfId="0" quotePrefix="1" applyFont="1" applyFill="1" applyBorder="1" applyAlignment="1">
      <alignment horizontal="center" vertical="center"/>
    </xf>
    <xf numFmtId="0" fontId="78" fillId="29" borderId="19" xfId="0" quotePrefix="1" applyFont="1" applyFill="1" applyBorder="1" applyAlignment="1">
      <alignment horizontal="center" vertical="center"/>
    </xf>
    <xf numFmtId="0" fontId="78" fillId="29" borderId="0" xfId="0" applyFont="1" applyFill="1" applyAlignment="1">
      <alignment vertical="center"/>
    </xf>
    <xf numFmtId="0" fontId="73" fillId="29" borderId="0" xfId="0" quotePrefix="1" applyFont="1" applyFill="1" applyBorder="1" applyAlignment="1">
      <alignment horizontal="center" vertical="center"/>
    </xf>
    <xf numFmtId="0" fontId="78" fillId="29" borderId="0" xfId="0" applyFont="1" applyFill="1" applyBorder="1" applyAlignment="1">
      <alignment horizontal="center" vertical="center"/>
    </xf>
    <xf numFmtId="0" fontId="78" fillId="29" borderId="3" xfId="0" applyNumberFormat="1" applyFont="1" applyFill="1" applyBorder="1" applyAlignment="1">
      <alignment horizontal="center" vertical="center"/>
    </xf>
    <xf numFmtId="0" fontId="78" fillId="29" borderId="0" xfId="0" applyFont="1" applyFill="1" applyAlignment="1">
      <alignment horizontal="center" vertical="center"/>
    </xf>
    <xf numFmtId="0" fontId="73" fillId="29" borderId="3" xfId="0" quotePrefix="1" applyNumberFormat="1" applyFont="1" applyFill="1" applyBorder="1" applyAlignment="1">
      <alignment horizontal="center" vertical="center"/>
    </xf>
    <xf numFmtId="0" fontId="78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78" fillId="29" borderId="0" xfId="0" applyFont="1" applyFill="1" applyBorder="1" applyAlignment="1">
      <alignment horizontal="left" vertical="center" wrapText="1"/>
    </xf>
    <xf numFmtId="3" fontId="78" fillId="29" borderId="0" xfId="0" applyNumberFormat="1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horizontal="left" vertical="center" wrapText="1" shrinkToFit="1"/>
    </xf>
    <xf numFmtId="0" fontId="76" fillId="29" borderId="0" xfId="0" applyFont="1" applyFill="1" applyBorder="1" applyAlignment="1">
      <alignment horizontal="left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0" fontId="74" fillId="29" borderId="0" xfId="0" applyFont="1" applyFill="1" applyBorder="1" applyAlignment="1">
      <alignment horizontal="left" vertical="center"/>
    </xf>
    <xf numFmtId="0" fontId="78" fillId="29" borderId="3" xfId="0" applyNumberFormat="1" applyFont="1" applyFill="1" applyBorder="1" applyAlignment="1">
      <alignment horizontal="center" vertical="center" wrapText="1" shrinkToFit="1"/>
    </xf>
    <xf numFmtId="0" fontId="78" fillId="29" borderId="13" xfId="0" applyFont="1" applyFill="1" applyBorder="1" applyAlignment="1">
      <alignment vertical="center"/>
    </xf>
    <xf numFmtId="0" fontId="73" fillId="29" borderId="0" xfId="0" applyFont="1" applyFill="1" applyBorder="1" applyAlignment="1">
      <alignment horizontal="right" vertical="center"/>
    </xf>
    <xf numFmtId="169" fontId="73" fillId="29" borderId="0" xfId="0" applyNumberFormat="1" applyFont="1" applyFill="1" applyBorder="1" applyAlignment="1">
      <alignment horizontal="right" vertical="center"/>
    </xf>
    <xf numFmtId="0" fontId="80" fillId="29" borderId="0" xfId="0" applyFont="1" applyFill="1" applyAlignment="1">
      <alignment vertical="center"/>
    </xf>
    <xf numFmtId="0" fontId="76" fillId="29" borderId="0" xfId="0" applyNumberFormat="1" applyFont="1" applyFill="1" applyBorder="1" applyAlignment="1">
      <alignment horizontal="center" vertical="center"/>
    </xf>
    <xf numFmtId="173" fontId="76" fillId="29" borderId="0" xfId="0" applyNumberFormat="1" applyFont="1" applyFill="1" applyBorder="1" applyAlignment="1">
      <alignment horizontal="center" vertical="center" wrapText="1"/>
    </xf>
    <xf numFmtId="169" fontId="76" fillId="29" borderId="0" xfId="207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vertical="center"/>
    </xf>
    <xf numFmtId="173" fontId="83" fillId="29" borderId="3" xfId="0" applyNumberFormat="1" applyFont="1" applyFill="1" applyBorder="1" applyAlignment="1">
      <alignment horizontal="center" vertical="center" wrapText="1"/>
    </xf>
    <xf numFmtId="169" fontId="83" fillId="29" borderId="3" xfId="207" applyNumberFormat="1" applyFont="1" applyFill="1" applyBorder="1" applyAlignment="1">
      <alignment horizontal="right" vertical="center" wrapText="1"/>
    </xf>
    <xf numFmtId="0" fontId="82" fillId="29" borderId="3" xfId="0" applyFont="1" applyFill="1" applyBorder="1" applyAlignment="1">
      <alignment vertical="center" wrapText="1"/>
    </xf>
    <xf numFmtId="179" fontId="83" fillId="29" borderId="3" xfId="0" applyNumberFormat="1" applyFont="1" applyFill="1" applyBorder="1" applyAlignment="1">
      <alignment horizontal="right" vertical="center" wrapText="1"/>
    </xf>
    <xf numFmtId="0" fontId="85" fillId="29" borderId="3" xfId="182" applyFont="1" applyFill="1" applyBorder="1" applyAlignment="1">
      <alignment horizontal="left" vertical="center" wrapText="1"/>
      <protection locked="0"/>
    </xf>
    <xf numFmtId="0" fontId="86" fillId="29" borderId="3" xfId="0" applyFont="1" applyFill="1" applyBorder="1" applyAlignment="1">
      <alignment horizontal="center" vertical="center" wrapText="1"/>
    </xf>
    <xf numFmtId="179" fontId="85" fillId="29" borderId="3" xfId="0" applyNumberFormat="1" applyFont="1" applyFill="1" applyBorder="1" applyAlignment="1">
      <alignment horizontal="center" vertical="center" wrapText="1"/>
    </xf>
    <xf numFmtId="179" fontId="82" fillId="29" borderId="19" xfId="0" applyNumberFormat="1" applyFont="1" applyFill="1" applyBorder="1" applyAlignment="1">
      <alignment horizontal="right" vertical="center" wrapText="1"/>
    </xf>
    <xf numFmtId="0" fontId="85" fillId="29" borderId="3" xfId="0" applyFont="1" applyFill="1" applyBorder="1" applyAlignment="1" applyProtection="1">
      <alignment horizontal="left" vertical="center" wrapText="1"/>
      <protection locked="0"/>
    </xf>
    <xf numFmtId="0" fontId="86" fillId="29" borderId="3" xfId="246" applyFont="1" applyFill="1" applyBorder="1" applyAlignment="1">
      <alignment horizontal="left" vertical="center" wrapText="1"/>
    </xf>
    <xf numFmtId="0" fontId="86" fillId="29" borderId="3" xfId="0" applyFont="1" applyFill="1" applyBorder="1" applyAlignment="1">
      <alignment horizontal="center" vertical="center"/>
    </xf>
    <xf numFmtId="179" fontId="86" fillId="29" borderId="3" xfId="0" applyNumberFormat="1" applyFont="1" applyFill="1" applyBorder="1" applyAlignment="1">
      <alignment horizontal="center" vertical="center" wrapText="1"/>
    </xf>
    <xf numFmtId="0" fontId="86" fillId="29" borderId="3" xfId="246" applyFont="1" applyFill="1" applyBorder="1" applyAlignment="1">
      <alignment horizontal="center" vertical="center"/>
    </xf>
    <xf numFmtId="179" fontId="86" fillId="29" borderId="19" xfId="0" applyNumberFormat="1" applyFont="1" applyFill="1" applyBorder="1" applyAlignment="1">
      <alignment horizontal="center" vertical="center" wrapText="1"/>
    </xf>
    <xf numFmtId="179" fontId="85" fillId="29" borderId="19" xfId="0" applyNumberFormat="1" applyFont="1" applyFill="1" applyBorder="1" applyAlignment="1">
      <alignment horizontal="center" vertical="center" wrapText="1"/>
    </xf>
    <xf numFmtId="0" fontId="85" fillId="29" borderId="19" xfId="0" applyFont="1" applyFill="1" applyBorder="1" applyAlignment="1" applyProtection="1">
      <alignment horizontal="left" vertical="center" wrapText="1"/>
      <protection locked="0"/>
    </xf>
    <xf numFmtId="0" fontId="86" fillId="29" borderId="3" xfId="0" quotePrefix="1" applyFont="1" applyFill="1" applyBorder="1" applyAlignment="1">
      <alignment horizontal="center" vertical="center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6" fillId="29" borderId="14" xfId="0" quotePrefix="1" applyFont="1" applyFill="1" applyBorder="1" applyAlignment="1">
      <alignment horizontal="center" vertical="center"/>
    </xf>
    <xf numFmtId="0" fontId="86" fillId="29" borderId="3" xfId="0" quotePrefix="1" applyNumberFormat="1" applyFont="1" applyFill="1" applyBorder="1" applyAlignment="1">
      <alignment horizontal="center" vertical="center"/>
    </xf>
    <xf numFmtId="0" fontId="86" fillId="29" borderId="19" xfId="0" quotePrefix="1" applyNumberFormat="1" applyFont="1" applyFill="1" applyBorder="1" applyAlignment="1">
      <alignment horizontal="center" vertical="center"/>
    </xf>
    <xf numFmtId="49" fontId="86" fillId="29" borderId="3" xfId="0" applyNumberFormat="1" applyFont="1" applyFill="1" applyBorder="1" applyAlignment="1">
      <alignment horizontal="center" vertical="center"/>
    </xf>
    <xf numFmtId="177" fontId="85" fillId="29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left" vertical="center" wrapText="1"/>
    </xf>
    <xf numFmtId="0" fontId="5" fillId="29" borderId="3" xfId="0" quotePrefix="1" applyNumberFormat="1" applyFont="1" applyFill="1" applyBorder="1" applyAlignment="1">
      <alignment horizontal="center" vertical="center"/>
    </xf>
    <xf numFmtId="0" fontId="5" fillId="29" borderId="3" xfId="0" applyNumberFormat="1" applyFont="1" applyFill="1" applyBorder="1" applyAlignment="1">
      <alignment horizontal="center" vertical="center"/>
    </xf>
    <xf numFmtId="173" fontId="86" fillId="29" borderId="3" xfId="0" applyNumberFormat="1" applyFont="1" applyFill="1" applyBorder="1" applyAlignment="1">
      <alignment horizontal="center" vertical="center" wrapText="1"/>
    </xf>
    <xf numFmtId="173" fontId="86" fillId="29" borderId="19" xfId="0" applyNumberFormat="1" applyFont="1" applyFill="1" applyBorder="1" applyAlignment="1">
      <alignment horizontal="center" vertical="center" wrapText="1"/>
    </xf>
    <xf numFmtId="173" fontId="85" fillId="29" borderId="19" xfId="0" applyNumberFormat="1" applyFont="1" applyFill="1" applyBorder="1" applyAlignment="1">
      <alignment horizontal="center" vertical="center" wrapText="1"/>
    </xf>
    <xf numFmtId="173" fontId="85" fillId="29" borderId="3" xfId="0" applyNumberFormat="1" applyFont="1" applyFill="1" applyBorder="1" applyAlignment="1">
      <alignment horizontal="center" vertical="center" wrapText="1"/>
    </xf>
    <xf numFmtId="170" fontId="72" fillId="29" borderId="3" xfId="238" applyNumberFormat="1" applyFont="1" applyFill="1" applyBorder="1" applyAlignment="1">
      <alignment horizontal="center" vertical="center" wrapText="1"/>
    </xf>
    <xf numFmtId="169" fontId="86" fillId="29" borderId="3" xfId="207" applyNumberFormat="1" applyFont="1" applyFill="1" applyBorder="1" applyAlignment="1">
      <alignment horizontal="right" vertical="center" wrapText="1"/>
    </xf>
    <xf numFmtId="169" fontId="85" fillId="29" borderId="3" xfId="207" applyNumberFormat="1" applyFont="1" applyFill="1" applyBorder="1" applyAlignment="1">
      <alignment horizontal="right" vertical="center" wrapText="1"/>
    </xf>
    <xf numFmtId="180" fontId="85" fillId="29" borderId="3" xfId="0" applyNumberFormat="1" applyFont="1" applyFill="1" applyBorder="1" applyAlignment="1">
      <alignment horizontal="right" vertical="center" wrapText="1"/>
    </xf>
    <xf numFmtId="180" fontId="86" fillId="29" borderId="3" xfId="0" applyNumberFormat="1" applyFont="1" applyFill="1" applyBorder="1" applyAlignment="1">
      <alignment horizontal="center" vertical="center" wrapText="1"/>
    </xf>
    <xf numFmtId="180" fontId="86" fillId="29" borderId="3" xfId="207" applyNumberFormat="1" applyFont="1" applyFill="1" applyBorder="1" applyAlignment="1">
      <alignment horizontal="right" vertical="center" wrapText="1"/>
    </xf>
    <xf numFmtId="179" fontId="85" fillId="29" borderId="3" xfId="0" applyNumberFormat="1" applyFont="1" applyFill="1" applyBorder="1" applyAlignment="1">
      <alignment horizontal="right" vertical="center" wrapText="1"/>
    </xf>
    <xf numFmtId="179" fontId="85" fillId="29" borderId="3" xfId="0" applyNumberFormat="1" applyFont="1" applyFill="1" applyBorder="1" applyAlignment="1">
      <alignment vertical="center" wrapText="1"/>
    </xf>
    <xf numFmtId="179" fontId="86" fillId="29" borderId="3" xfId="207" applyNumberFormat="1" applyFont="1" applyFill="1" applyBorder="1" applyAlignment="1">
      <alignment horizontal="right" vertical="center" wrapText="1"/>
    </xf>
    <xf numFmtId="173" fontId="85" fillId="29" borderId="3" xfId="0" applyNumberFormat="1" applyFont="1" applyFill="1" applyBorder="1" applyAlignment="1">
      <alignment vertical="center" wrapText="1"/>
    </xf>
    <xf numFmtId="173" fontId="85" fillId="29" borderId="3" xfId="0" applyNumberFormat="1" applyFont="1" applyFill="1" applyBorder="1" applyAlignment="1">
      <alignment horizontal="right" vertical="center" wrapText="1"/>
    </xf>
    <xf numFmtId="179" fontId="72" fillId="29" borderId="19" xfId="0" applyNumberFormat="1" applyFont="1" applyFill="1" applyBorder="1" applyAlignment="1">
      <alignment horizontal="center" vertical="center" wrapText="1"/>
    </xf>
    <xf numFmtId="179" fontId="78" fillId="29" borderId="19" xfId="0" applyNumberFormat="1" applyFont="1" applyFill="1" applyBorder="1" applyAlignment="1">
      <alignment horizontal="center" vertical="center" wrapText="1"/>
    </xf>
    <xf numFmtId="179" fontId="78" fillId="29" borderId="19" xfId="0" applyNumberFormat="1" applyFont="1" applyFill="1" applyBorder="1" applyAlignment="1">
      <alignment horizontal="right" vertical="center" wrapText="1"/>
    </xf>
    <xf numFmtId="179" fontId="73" fillId="29" borderId="19" xfId="0" applyNumberFormat="1" applyFont="1" applyFill="1" applyBorder="1" applyAlignment="1">
      <alignment horizontal="right" vertical="center" wrapText="1"/>
    </xf>
    <xf numFmtId="173" fontId="78" fillId="29" borderId="19" xfId="0" applyNumberFormat="1" applyFont="1" applyFill="1" applyBorder="1" applyAlignment="1">
      <alignment horizontal="center" vertical="center" wrapText="1"/>
    </xf>
    <xf numFmtId="173" fontId="73" fillId="29" borderId="19" xfId="0" applyNumberFormat="1" applyFont="1" applyFill="1" applyBorder="1" applyAlignment="1">
      <alignment horizontal="center" vertical="center" wrapText="1"/>
    </xf>
    <xf numFmtId="179" fontId="92" fillId="29" borderId="3" xfId="0" applyNumberFormat="1" applyFont="1" applyFill="1" applyBorder="1" applyAlignment="1">
      <alignment horizontal="center" vertical="center" wrapText="1"/>
    </xf>
    <xf numFmtId="169" fontId="73" fillId="29" borderId="3" xfId="207" applyNumberFormat="1" applyFont="1" applyFill="1" applyBorder="1" applyAlignment="1">
      <alignment horizontal="right" vertical="center" wrapText="1"/>
    </xf>
    <xf numFmtId="179" fontId="86" fillId="29" borderId="19" xfId="0" applyNumberFormat="1" applyFont="1" applyFill="1" applyBorder="1" applyAlignment="1">
      <alignment horizontal="right" vertical="center" wrapText="1"/>
    </xf>
    <xf numFmtId="179" fontId="85" fillId="29" borderId="19" xfId="0" applyNumberFormat="1" applyFont="1" applyFill="1" applyBorder="1" applyAlignment="1">
      <alignment horizontal="right" vertical="center" wrapText="1"/>
    </xf>
    <xf numFmtId="177" fontId="85" fillId="29" borderId="19" xfId="0" applyNumberFormat="1" applyFont="1" applyFill="1" applyBorder="1" applyAlignment="1">
      <alignment horizontal="right" vertical="center" wrapText="1"/>
    </xf>
    <xf numFmtId="177" fontId="86" fillId="29" borderId="19" xfId="0" applyNumberFormat="1" applyFont="1" applyFill="1" applyBorder="1" applyAlignment="1">
      <alignment horizontal="right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179" fontId="72" fillId="29" borderId="19" xfId="0" applyNumberFormat="1" applyFont="1" applyFill="1" applyBorder="1" applyAlignment="1">
      <alignment horizontal="right" vertical="center" wrapText="1"/>
    </xf>
    <xf numFmtId="179" fontId="86" fillId="29" borderId="3" xfId="0" applyNumberFormat="1" applyFont="1" applyFill="1" applyBorder="1" applyAlignment="1">
      <alignment horizontal="right" vertical="center" wrapText="1"/>
    </xf>
    <xf numFmtId="181" fontId="85" fillId="29" borderId="3" xfId="0" applyNumberFormat="1" applyFont="1" applyFill="1" applyBorder="1" applyAlignment="1">
      <alignment horizontal="center" vertical="center" wrapText="1"/>
    </xf>
    <xf numFmtId="173" fontId="78" fillId="29" borderId="3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center" vertical="center" wrapText="1" shrinkToFit="1"/>
    </xf>
    <xf numFmtId="0" fontId="4" fillId="29" borderId="3" xfId="0" quotePrefix="1" applyFont="1" applyFill="1" applyBorder="1" applyAlignment="1">
      <alignment horizontal="center" vertical="center"/>
    </xf>
    <xf numFmtId="0" fontId="5" fillId="29" borderId="3" xfId="0" quotePrefix="1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 shrinkToFit="1"/>
    </xf>
    <xf numFmtId="170" fontId="5" fillId="29" borderId="0" xfId="0" applyNumberFormat="1" applyFont="1" applyFill="1" applyBorder="1" applyAlignment="1">
      <alignment horizontal="right" vertical="center" wrapText="1"/>
    </xf>
    <xf numFmtId="179" fontId="93" fillId="29" borderId="3" xfId="0" applyNumberFormat="1" applyFont="1" applyFill="1" applyBorder="1" applyAlignment="1">
      <alignment horizontal="center" vertical="center" wrapText="1"/>
    </xf>
    <xf numFmtId="49" fontId="78" fillId="29" borderId="3" xfId="0" applyNumberFormat="1" applyFont="1" applyFill="1" applyBorder="1" applyAlignment="1">
      <alignment horizontal="left" vertical="center" wrapText="1"/>
    </xf>
    <xf numFmtId="0" fontId="78" fillId="29" borderId="14" xfId="0" applyFont="1" applyFill="1" applyBorder="1" applyAlignment="1">
      <alignment horizontal="center" vertical="center" wrapText="1"/>
    </xf>
    <xf numFmtId="0" fontId="86" fillId="29" borderId="3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170" fontId="78" fillId="29" borderId="0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/>
    </xf>
    <xf numFmtId="0" fontId="78" fillId="29" borderId="15" xfId="0" applyFont="1" applyFill="1" applyBorder="1" applyAlignment="1">
      <alignment vertical="center"/>
    </xf>
    <xf numFmtId="0" fontId="5" fillId="29" borderId="0" xfId="0" applyFont="1" applyFill="1" applyAlignment="1">
      <alignment horizontal="left" vertical="center"/>
    </xf>
    <xf numFmtId="0" fontId="78" fillId="29" borderId="19" xfId="182" applyFont="1" applyFill="1" applyBorder="1" applyAlignment="1">
      <alignment horizontal="left" vertical="center" wrapText="1"/>
      <protection locked="0"/>
    </xf>
    <xf numFmtId="0" fontId="78" fillId="29" borderId="19" xfId="0" applyFont="1" applyFill="1" applyBorder="1" applyAlignment="1">
      <alignment horizontal="center" vertical="center" wrapText="1"/>
    </xf>
    <xf numFmtId="179" fontId="83" fillId="29" borderId="19" xfId="0" applyNumberFormat="1" applyFont="1" applyFill="1" applyBorder="1" applyAlignment="1">
      <alignment horizontal="right" vertical="center" wrapText="1"/>
    </xf>
    <xf numFmtId="179" fontId="83" fillId="29" borderId="19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 applyProtection="1">
      <alignment horizontal="left" vertical="center"/>
      <protection locked="0"/>
    </xf>
    <xf numFmtId="0" fontId="5" fillId="29" borderId="0" xfId="0" applyFont="1" applyFill="1" applyBorder="1" applyAlignment="1">
      <alignment vertical="center" wrapText="1"/>
    </xf>
    <xf numFmtId="0" fontId="5" fillId="29" borderId="0" xfId="0" applyFont="1" applyFill="1" applyAlignment="1">
      <alignment vertical="top"/>
    </xf>
    <xf numFmtId="0" fontId="78" fillId="29" borderId="17" xfId="0" applyFont="1" applyFill="1" applyBorder="1" applyAlignment="1">
      <alignment vertical="center" wrapText="1"/>
    </xf>
    <xf numFmtId="0" fontId="86" fillId="29" borderId="0" xfId="0" applyFont="1" applyFill="1" applyBorder="1" applyAlignment="1" applyProtection="1">
      <alignment horizontal="left" vertical="center" wrapText="1"/>
      <protection locked="0"/>
    </xf>
    <xf numFmtId="0" fontId="86" fillId="29" borderId="0" xfId="0" quotePrefix="1" applyFont="1" applyFill="1" applyBorder="1" applyAlignment="1">
      <alignment horizontal="center" vertical="center"/>
    </xf>
    <xf numFmtId="173" fontId="86" fillId="29" borderId="0" xfId="0" applyNumberFormat="1" applyFont="1" applyFill="1" applyBorder="1" applyAlignment="1">
      <alignment horizontal="center" vertical="center" wrapText="1"/>
    </xf>
    <xf numFmtId="173" fontId="78" fillId="29" borderId="0" xfId="0" applyNumberFormat="1" applyFont="1" applyFill="1" applyBorder="1" applyAlignment="1">
      <alignment horizontal="center" vertical="center" wrapText="1"/>
    </xf>
    <xf numFmtId="179" fontId="78" fillId="29" borderId="0" xfId="0" applyNumberFormat="1" applyFont="1" applyFill="1" applyBorder="1" applyAlignment="1">
      <alignment horizontal="right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3" fontId="86" fillId="29" borderId="3" xfId="0" applyNumberFormat="1" applyFont="1" applyFill="1" applyBorder="1" applyAlignment="1">
      <alignment vertical="center" wrapText="1"/>
    </xf>
    <xf numFmtId="181" fontId="86" fillId="29" borderId="3" xfId="0" applyNumberFormat="1" applyFont="1" applyFill="1" applyBorder="1" applyAlignment="1">
      <alignment horizontal="center" vertical="center" wrapText="1"/>
    </xf>
    <xf numFmtId="0" fontId="11" fillId="29" borderId="0" xfId="0" applyFont="1" applyFill="1" applyBorder="1" applyAlignment="1">
      <alignment vertical="center"/>
    </xf>
    <xf numFmtId="0" fontId="5" fillId="29" borderId="0" xfId="246" applyFont="1" applyFill="1" applyBorder="1" applyAlignment="1">
      <alignment vertical="center"/>
    </xf>
    <xf numFmtId="0" fontId="4" fillId="29" borderId="0" xfId="246" applyFont="1" applyFill="1" applyBorder="1" applyAlignment="1">
      <alignment horizontal="right" vertical="center"/>
    </xf>
    <xf numFmtId="0" fontId="9" fillId="29" borderId="0" xfId="0" applyFont="1" applyFill="1" applyBorder="1" applyAlignment="1">
      <alignment vertical="top"/>
    </xf>
    <xf numFmtId="0" fontId="9" fillId="29" borderId="0" xfId="0" applyFont="1" applyFill="1" applyAlignment="1">
      <alignment vertical="top"/>
    </xf>
    <xf numFmtId="0" fontId="73" fillId="29" borderId="0" xfId="0" applyFont="1" applyFill="1" applyAlignment="1">
      <alignment horizontal="right" vertical="center"/>
    </xf>
    <xf numFmtId="0" fontId="14" fillId="29" borderId="0" xfId="246" applyFont="1" applyFill="1"/>
    <xf numFmtId="0" fontId="4" fillId="29" borderId="0" xfId="0" applyFont="1" applyFill="1" applyAlignment="1">
      <alignment vertical="center"/>
    </xf>
    <xf numFmtId="0" fontId="6" fillId="29" borderId="0" xfId="0" applyFont="1" applyFill="1" applyBorder="1" applyAlignment="1">
      <alignment vertical="center"/>
    </xf>
    <xf numFmtId="0" fontId="89" fillId="29" borderId="0" xfId="0" applyFont="1" applyFill="1" applyBorder="1" applyAlignment="1"/>
    <xf numFmtId="0" fontId="9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81" fillId="29" borderId="0" xfId="0" applyFont="1" applyFill="1" applyAlignment="1">
      <alignment vertical="center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right" vertical="center" wrapText="1"/>
    </xf>
    <xf numFmtId="0" fontId="73" fillId="29" borderId="0" xfId="0" applyFont="1" applyFill="1" applyBorder="1" applyAlignment="1">
      <alignment horizontal="right"/>
    </xf>
    <xf numFmtId="169" fontId="73" fillId="29" borderId="0" xfId="0" applyNumberFormat="1" applyFont="1" applyFill="1" applyBorder="1" applyAlignment="1">
      <alignment horizontal="right"/>
    </xf>
    <xf numFmtId="0" fontId="78" fillId="29" borderId="0" xfId="0" applyFont="1" applyFill="1" applyAlignment="1"/>
    <xf numFmtId="0" fontId="5" fillId="29" borderId="0" xfId="0" applyFont="1" applyFill="1" applyAlignment="1"/>
    <xf numFmtId="0" fontId="4" fillId="29" borderId="0" xfId="0" applyFont="1" applyFill="1" applyBorder="1" applyAlignment="1">
      <alignment horizontal="left" vertical="top"/>
    </xf>
    <xf numFmtId="0" fontId="4" fillId="29" borderId="3" xfId="0" quotePrefix="1" applyNumberFormat="1" applyFont="1" applyFill="1" applyBorder="1" applyAlignment="1">
      <alignment horizontal="center" vertical="center"/>
    </xf>
    <xf numFmtId="173" fontId="5" fillId="29" borderId="0" xfId="0" applyNumberFormat="1" applyFont="1" applyFill="1" applyBorder="1" applyAlignment="1">
      <alignment horizontal="right" vertical="center"/>
    </xf>
    <xf numFmtId="0" fontId="78" fillId="29" borderId="17" xfId="0" applyFont="1" applyFill="1" applyBorder="1" applyAlignment="1">
      <alignment vertical="center"/>
    </xf>
    <xf numFmtId="0" fontId="78" fillId="29" borderId="16" xfId="0" applyFont="1" applyFill="1" applyBorder="1" applyAlignment="1">
      <alignment vertical="center"/>
    </xf>
    <xf numFmtId="0" fontId="78" fillId="29" borderId="3" xfId="0" applyFont="1" applyFill="1" applyBorder="1" applyAlignment="1">
      <alignment horizontal="left" vertical="center"/>
    </xf>
    <xf numFmtId="0" fontId="78" fillId="29" borderId="3" xfId="0" applyFont="1" applyFill="1" applyBorder="1" applyAlignment="1">
      <alignment vertical="center"/>
    </xf>
    <xf numFmtId="0" fontId="78" fillId="29" borderId="36" xfId="0" applyFont="1" applyFill="1" applyBorder="1" applyAlignment="1">
      <alignment vertical="center"/>
    </xf>
    <xf numFmtId="169" fontId="78" fillId="29" borderId="3" xfId="0" applyNumberFormat="1" applyFont="1" applyFill="1" applyBorder="1" applyAlignment="1">
      <alignment horizontal="right" vertical="center"/>
    </xf>
    <xf numFmtId="169" fontId="73" fillId="29" borderId="3" xfId="0" applyNumberFormat="1" applyFont="1" applyFill="1" applyBorder="1" applyAlignment="1">
      <alignment horizontal="right" vertical="center"/>
    </xf>
    <xf numFmtId="0" fontId="72" fillId="29" borderId="3" xfId="0" applyFont="1" applyFill="1" applyBorder="1" applyAlignment="1">
      <alignment horizontal="left" vertical="center" wrapText="1"/>
    </xf>
    <xf numFmtId="0" fontId="72" fillId="29" borderId="0" xfId="0" applyFont="1" applyFill="1" applyBorder="1" applyAlignment="1">
      <alignment vertical="center"/>
    </xf>
    <xf numFmtId="0" fontId="72" fillId="29" borderId="0" xfId="0" applyFont="1" applyFill="1" applyBorder="1" applyAlignment="1">
      <alignment horizontal="center" vertical="center"/>
    </xf>
    <xf numFmtId="0" fontId="77" fillId="29" borderId="0" xfId="0" applyFont="1" applyFill="1" applyBorder="1" applyAlignment="1">
      <alignment vertical="center"/>
    </xf>
    <xf numFmtId="170" fontId="4" fillId="29" borderId="3" xfId="0" applyNumberFormat="1" applyFont="1" applyFill="1" applyBorder="1" applyAlignment="1">
      <alignment horizontal="center" vertical="center" wrapText="1"/>
    </xf>
    <xf numFmtId="49" fontId="5" fillId="29" borderId="3" xfId="0" applyNumberFormat="1" applyFont="1" applyFill="1" applyBorder="1" applyAlignment="1">
      <alignment horizontal="left" vertical="center" wrapText="1" shrinkToFit="1"/>
    </xf>
    <xf numFmtId="170" fontId="5" fillId="29" borderId="3" xfId="0" applyNumberFormat="1" applyFont="1" applyFill="1" applyBorder="1" applyAlignment="1">
      <alignment horizontal="center" vertical="center" wrapText="1"/>
    </xf>
    <xf numFmtId="49" fontId="5" fillId="29" borderId="3" xfId="0" applyNumberFormat="1" applyFont="1" applyFill="1" applyBorder="1" applyAlignment="1">
      <alignment horizontal="justify" vertical="center" shrinkToFit="1"/>
    </xf>
    <xf numFmtId="49" fontId="5" fillId="29" borderId="15" xfId="0" applyNumberFormat="1" applyFont="1" applyFill="1" applyBorder="1" applyAlignment="1">
      <alignment horizontal="justify" vertical="center" shrinkToFit="1"/>
    </xf>
    <xf numFmtId="170" fontId="5" fillId="29" borderId="3" xfId="0" applyNumberFormat="1" applyFont="1" applyFill="1" applyBorder="1" applyAlignment="1">
      <alignment horizontal="center" vertical="center"/>
    </xf>
    <xf numFmtId="49" fontId="4" fillId="29" borderId="15" xfId="0" applyNumberFormat="1" applyFont="1" applyFill="1" applyBorder="1" applyAlignment="1">
      <alignment horizontal="center" vertical="center" wrapText="1"/>
    </xf>
    <xf numFmtId="49" fontId="5" fillId="29" borderId="3" xfId="0" applyNumberFormat="1" applyFont="1" applyFill="1" applyBorder="1" applyAlignment="1">
      <alignment horizontal="left" vertical="center" wrapText="1"/>
    </xf>
    <xf numFmtId="49" fontId="5" fillId="29" borderId="3" xfId="0" applyNumberFormat="1" applyFont="1" applyFill="1" applyBorder="1" applyAlignment="1">
      <alignment horizontal="left" vertical="center" shrinkToFit="1"/>
    </xf>
    <xf numFmtId="49" fontId="5" fillId="29" borderId="15" xfId="0" applyNumberFormat="1" applyFont="1" applyFill="1" applyBorder="1" applyAlignment="1">
      <alignment horizontal="left" vertical="center" shrinkToFit="1"/>
    </xf>
    <xf numFmtId="49" fontId="5" fillId="29" borderId="3" xfId="0" applyNumberFormat="1" applyFont="1" applyFill="1" applyBorder="1" applyAlignment="1">
      <alignment vertical="center" wrapText="1"/>
    </xf>
    <xf numFmtId="49" fontId="5" fillId="29" borderId="15" xfId="0" applyNumberFormat="1" applyFont="1" applyFill="1" applyBorder="1" applyAlignment="1">
      <alignment vertical="center" wrapText="1"/>
    </xf>
    <xf numFmtId="49" fontId="5" fillId="29" borderId="15" xfId="0" applyNumberFormat="1" applyFont="1" applyFill="1" applyBorder="1" applyAlignment="1">
      <alignment horizontal="left" vertical="center" wrapText="1" shrinkToFit="1"/>
    </xf>
    <xf numFmtId="0" fontId="97" fillId="29" borderId="0" xfId="0" applyFont="1" applyFill="1" applyBorder="1" applyAlignment="1">
      <alignment vertical="center"/>
    </xf>
    <xf numFmtId="0" fontId="5" fillId="29" borderId="37" xfId="354" applyFont="1" applyFill="1" applyBorder="1" applyAlignment="1">
      <alignment horizontal="left" vertical="center" wrapText="1"/>
    </xf>
    <xf numFmtId="0" fontId="5" fillId="29" borderId="37" xfId="354" applyFont="1" applyFill="1" applyBorder="1" applyAlignment="1">
      <alignment horizontal="justify" vertical="center" wrapText="1"/>
    </xf>
    <xf numFmtId="49" fontId="5" fillId="29" borderId="14" xfId="0" applyNumberFormat="1" applyFont="1" applyFill="1" applyBorder="1" applyAlignment="1">
      <alignment horizontal="left" vertical="center" wrapText="1" shrinkToFit="1"/>
    </xf>
    <xf numFmtId="49" fontId="5" fillId="29" borderId="26" xfId="0" applyNumberFormat="1" applyFont="1" applyFill="1" applyBorder="1" applyAlignment="1">
      <alignment horizontal="left" vertical="center" wrapText="1" shrinkToFit="1"/>
    </xf>
    <xf numFmtId="170" fontId="86" fillId="29" borderId="0" xfId="0" quotePrefix="1" applyNumberFormat="1" applyFont="1" applyFill="1" applyBorder="1" applyAlignment="1">
      <alignment vertical="center" wrapText="1"/>
    </xf>
    <xf numFmtId="0" fontId="78" fillId="29" borderId="0" xfId="0" quotePrefix="1" applyFont="1" applyFill="1" applyBorder="1" applyAlignment="1">
      <alignment horizontal="center" vertical="center"/>
    </xf>
    <xf numFmtId="170" fontId="78" fillId="29" borderId="0" xfId="0" quotePrefix="1" applyNumberFormat="1" applyFont="1" applyFill="1" applyBorder="1" applyAlignment="1">
      <alignment vertical="center" wrapText="1"/>
    </xf>
    <xf numFmtId="0" fontId="72" fillId="29" borderId="0" xfId="246" applyFont="1" applyFill="1" applyBorder="1" applyAlignment="1">
      <alignment vertical="center"/>
    </xf>
    <xf numFmtId="0" fontId="96" fillId="29" borderId="3" xfId="246" applyFont="1" applyFill="1" applyBorder="1" applyAlignment="1">
      <alignment horizontal="left" vertical="center" wrapText="1"/>
    </xf>
    <xf numFmtId="0" fontId="96" fillId="29" borderId="3" xfId="0" applyFont="1" applyFill="1" applyBorder="1" applyAlignment="1">
      <alignment horizontal="center" vertical="center"/>
    </xf>
    <xf numFmtId="173" fontId="96" fillId="29" borderId="3" xfId="0" applyNumberFormat="1" applyFont="1" applyFill="1" applyBorder="1" applyAlignment="1">
      <alignment horizontal="center" vertical="center" wrapText="1"/>
    </xf>
    <xf numFmtId="169" fontId="96" fillId="29" borderId="3" xfId="207" applyNumberFormat="1" applyFont="1" applyFill="1" applyBorder="1" applyAlignment="1">
      <alignment horizontal="right" vertical="center" wrapText="1"/>
    </xf>
    <xf numFmtId="0" fontId="72" fillId="29" borderId="3" xfId="246" applyFont="1" applyFill="1" applyBorder="1" applyAlignment="1">
      <alignment horizontal="left" vertical="center" wrapText="1"/>
    </xf>
    <xf numFmtId="0" fontId="72" fillId="29" borderId="3" xfId="0" applyFont="1" applyFill="1" applyBorder="1" applyAlignment="1">
      <alignment horizontal="center" vertical="center"/>
    </xf>
    <xf numFmtId="173" fontId="72" fillId="29" borderId="3" xfId="0" applyNumberFormat="1" applyFont="1" applyFill="1" applyBorder="1" applyAlignment="1">
      <alignment horizontal="center" vertical="center" wrapText="1"/>
    </xf>
    <xf numFmtId="169" fontId="72" fillId="29" borderId="3" xfId="207" applyNumberFormat="1" applyFont="1" applyFill="1" applyBorder="1" applyAlignment="1">
      <alignment horizontal="right" vertical="center" wrapText="1"/>
    </xf>
    <xf numFmtId="173" fontId="72" fillId="29" borderId="3" xfId="0" applyNumberFormat="1" applyFont="1" applyFill="1" applyBorder="1" applyAlignment="1">
      <alignment horizontal="right" vertical="center" wrapText="1"/>
    </xf>
    <xf numFmtId="0" fontId="96" fillId="29" borderId="3" xfId="246" applyFont="1" applyFill="1" applyBorder="1" applyAlignment="1">
      <alignment horizontal="center" vertical="center"/>
    </xf>
    <xf numFmtId="0" fontId="72" fillId="29" borderId="3" xfId="246" applyFont="1" applyFill="1" applyBorder="1" applyAlignment="1">
      <alignment horizontal="center" vertical="center"/>
    </xf>
    <xf numFmtId="0" fontId="72" fillId="29" borderId="0" xfId="246" applyFont="1" applyFill="1" applyBorder="1" applyAlignment="1">
      <alignment horizontal="left" vertical="center" wrapText="1"/>
    </xf>
    <xf numFmtId="0" fontId="72" fillId="29" borderId="0" xfId="246" applyFont="1" applyFill="1" applyBorder="1" applyAlignment="1">
      <alignment horizontal="center" vertical="center"/>
    </xf>
    <xf numFmtId="0" fontId="96" fillId="29" borderId="0" xfId="246" applyFont="1" applyFill="1" applyBorder="1" applyAlignment="1">
      <alignment vertical="center"/>
    </xf>
    <xf numFmtId="170" fontId="4" fillId="29" borderId="3" xfId="0" applyNumberFormat="1" applyFont="1" applyFill="1" applyBorder="1" applyAlignment="1">
      <alignment horizontal="right" vertical="center" wrapText="1"/>
    </xf>
    <xf numFmtId="170" fontId="5" fillId="29" borderId="3" xfId="0" applyNumberFormat="1" applyFont="1" applyFill="1" applyBorder="1" applyAlignment="1">
      <alignment horizontal="right" vertical="center" wrapText="1"/>
    </xf>
    <xf numFmtId="170" fontId="4" fillId="29" borderId="3" xfId="0" quotePrefix="1" applyNumberFormat="1" applyFont="1" applyFill="1" applyBorder="1" applyAlignment="1">
      <alignment horizontal="right" vertical="center"/>
    </xf>
    <xf numFmtId="0" fontId="6" fillId="29" borderId="3" xfId="0" quotePrefix="1" applyFont="1" applyFill="1" applyBorder="1" applyAlignment="1">
      <alignment horizontal="center" vertical="center"/>
    </xf>
    <xf numFmtId="49" fontId="5" fillId="29" borderId="3" xfId="0" applyNumberFormat="1" applyFont="1" applyFill="1" applyBorder="1" applyAlignment="1">
      <alignment vertical="center" wrapText="1" shrinkToFit="1"/>
    </xf>
    <xf numFmtId="170" fontId="5" fillId="29" borderId="3" xfId="0" applyNumberFormat="1" applyFont="1" applyFill="1" applyBorder="1" applyAlignment="1">
      <alignment horizontal="right" vertical="center"/>
    </xf>
    <xf numFmtId="170" fontId="4" fillId="29" borderId="3" xfId="0" applyNumberFormat="1" applyFont="1" applyFill="1" applyBorder="1" applyAlignment="1">
      <alignment horizontal="right" vertical="center"/>
    </xf>
    <xf numFmtId="49" fontId="5" fillId="29" borderId="19" xfId="0" applyNumberFormat="1" applyFont="1" applyFill="1" applyBorder="1" applyAlignment="1">
      <alignment horizontal="left" vertical="center" wrapText="1"/>
    </xf>
    <xf numFmtId="49" fontId="9" fillId="29" borderId="3" xfId="0" applyNumberFormat="1" applyFont="1" applyFill="1" applyBorder="1" applyAlignment="1">
      <alignment horizontal="left" vertical="center" wrapText="1"/>
    </xf>
    <xf numFmtId="49" fontId="9" fillId="29" borderId="3" xfId="0" applyNumberFormat="1" applyFont="1" applyFill="1" applyBorder="1" applyAlignment="1">
      <alignment horizontal="left" vertical="center" wrapText="1" shrinkToFit="1"/>
    </xf>
    <xf numFmtId="49" fontId="9" fillId="29" borderId="19" xfId="0" applyNumberFormat="1" applyFont="1" applyFill="1" applyBorder="1" applyAlignment="1">
      <alignment horizontal="left" vertical="center" wrapText="1"/>
    </xf>
    <xf numFmtId="49" fontId="9" fillId="29" borderId="3" xfId="0" applyNumberFormat="1" applyFont="1" applyFill="1" applyBorder="1" applyAlignment="1">
      <alignment vertical="center" wrapText="1"/>
    </xf>
    <xf numFmtId="0" fontId="100" fillId="29" borderId="3" xfId="0" applyFont="1" applyFill="1" applyBorder="1" applyAlignment="1">
      <alignment vertical="center" wrapText="1"/>
    </xf>
    <xf numFmtId="0" fontId="101" fillId="29" borderId="3" xfId="0" applyFont="1" applyFill="1" applyBorder="1" applyAlignment="1">
      <alignment horizontal="left" vertical="center" wrapText="1"/>
    </xf>
    <xf numFmtId="49" fontId="100" fillId="29" borderId="3" xfId="0" applyNumberFormat="1" applyFont="1" applyFill="1" applyBorder="1" applyAlignment="1">
      <alignment vertical="center" wrapText="1"/>
    </xf>
    <xf numFmtId="0" fontId="94" fillId="29" borderId="3" xfId="0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vertical="center" wrapText="1"/>
    </xf>
    <xf numFmtId="0" fontId="5" fillId="29" borderId="3" xfId="0" applyNumberFormat="1" applyFont="1" applyFill="1" applyBorder="1" applyAlignment="1">
      <alignment vertical="center" wrapText="1" shrinkToFit="1"/>
    </xf>
    <xf numFmtId="0" fontId="99" fillId="29" borderId="3" xfId="0" applyFont="1" applyFill="1" applyBorder="1" applyAlignment="1">
      <alignment horizontal="left" vertical="center" wrapText="1"/>
    </xf>
    <xf numFmtId="0" fontId="102" fillId="29" borderId="3" xfId="0" applyFont="1" applyFill="1" applyBorder="1" applyAlignment="1">
      <alignment vertical="center" wrapText="1"/>
    </xf>
    <xf numFmtId="49" fontId="102" fillId="29" borderId="3" xfId="0" applyNumberFormat="1" applyFont="1" applyFill="1" applyBorder="1" applyAlignment="1">
      <alignment vertical="center" wrapText="1"/>
    </xf>
    <xf numFmtId="0" fontId="5" fillId="29" borderId="3" xfId="0" applyFont="1" applyFill="1" applyBorder="1" applyAlignment="1" applyProtection="1">
      <alignment horizontal="center" vertical="center" wrapText="1"/>
      <protection locked="0"/>
    </xf>
    <xf numFmtId="49" fontId="5" fillId="29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9" borderId="32" xfId="0" applyNumberFormat="1" applyFont="1" applyFill="1" applyBorder="1" applyAlignment="1">
      <alignment horizontal="left" vertical="center" wrapText="1"/>
    </xf>
    <xf numFmtId="49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top"/>
    </xf>
    <xf numFmtId="49" fontId="5" fillId="29" borderId="3" xfId="0" applyNumberFormat="1" applyFont="1" applyFill="1" applyBorder="1" applyAlignment="1">
      <alignment horizontal="left" vertical="top" wrapText="1" shrinkToFit="1"/>
    </xf>
    <xf numFmtId="49" fontId="5" fillId="29" borderId="3" xfId="0" applyNumberFormat="1" applyFont="1" applyFill="1" applyBorder="1" applyAlignment="1">
      <alignment horizontal="left" vertical="top" wrapText="1"/>
    </xf>
    <xf numFmtId="49" fontId="5" fillId="29" borderId="3" xfId="0" applyNumberFormat="1" applyFont="1" applyFill="1" applyBorder="1" applyAlignment="1">
      <alignment horizontal="center" vertical="top" wrapText="1"/>
    </xf>
    <xf numFmtId="0" fontId="102" fillId="29" borderId="3" xfId="0" applyFont="1" applyFill="1" applyBorder="1" applyAlignment="1">
      <alignment vertical="top" wrapText="1"/>
    </xf>
    <xf numFmtId="49" fontId="5" fillId="29" borderId="19" xfId="0" applyNumberFormat="1" applyFont="1" applyFill="1" applyBorder="1" applyAlignment="1">
      <alignment vertical="top" wrapText="1"/>
    </xf>
    <xf numFmtId="49" fontId="5" fillId="29" borderId="15" xfId="0" applyNumberFormat="1" applyFont="1" applyFill="1" applyBorder="1" applyAlignment="1">
      <alignment horizontal="center" vertical="top" wrapText="1"/>
    </xf>
    <xf numFmtId="49" fontId="5" fillId="29" borderId="15" xfId="0" applyNumberFormat="1" applyFont="1" applyFill="1" applyBorder="1" applyAlignment="1">
      <alignment horizontal="center" vertical="center" wrapText="1"/>
    </xf>
    <xf numFmtId="0" fontId="5" fillId="29" borderId="3" xfId="0" quotePrefix="1" applyFont="1" applyFill="1" applyBorder="1" applyAlignment="1">
      <alignment horizontal="center" vertical="top"/>
    </xf>
    <xf numFmtId="0" fontId="4" fillId="29" borderId="3" xfId="0" quotePrefix="1" applyFont="1" applyFill="1" applyBorder="1" applyAlignment="1">
      <alignment horizontal="center" vertical="top"/>
    </xf>
    <xf numFmtId="0" fontId="5" fillId="29" borderId="16" xfId="0" quotePrefix="1" applyFont="1" applyFill="1" applyBorder="1" applyAlignment="1">
      <alignment horizontal="center" vertical="top"/>
    </xf>
    <xf numFmtId="0" fontId="4" fillId="29" borderId="16" xfId="0" quotePrefix="1" applyFont="1" applyFill="1" applyBorder="1" applyAlignment="1">
      <alignment horizontal="center" vertical="top"/>
    </xf>
    <xf numFmtId="49" fontId="5" fillId="29" borderId="0" xfId="0" applyNumberFormat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vertical="center"/>
    </xf>
    <xf numFmtId="0" fontId="5" fillId="29" borderId="32" xfId="354" applyFont="1" applyFill="1" applyBorder="1" applyAlignment="1">
      <alignment horizontal="justify" vertical="center" wrapText="1"/>
    </xf>
    <xf numFmtId="9" fontId="73" fillId="29" borderId="3" xfId="0" applyNumberFormat="1" applyFont="1" applyFill="1" applyBorder="1" applyAlignment="1">
      <alignment horizontal="center" vertical="center" wrapText="1"/>
    </xf>
    <xf numFmtId="9" fontId="78" fillId="29" borderId="3" xfId="0" applyNumberFormat="1" applyFont="1" applyFill="1" applyBorder="1" applyAlignment="1">
      <alignment horizontal="center" vertical="center" wrapText="1"/>
    </xf>
    <xf numFmtId="9" fontId="73" fillId="29" borderId="3" xfId="0" applyNumberFormat="1" applyFont="1" applyFill="1" applyBorder="1" applyAlignment="1">
      <alignment horizontal="right" vertical="center" wrapText="1"/>
    </xf>
    <xf numFmtId="177" fontId="78" fillId="29" borderId="19" xfId="0" applyNumberFormat="1" applyFont="1" applyFill="1" applyBorder="1" applyAlignment="1">
      <alignment horizontal="center" vertical="center" wrapText="1"/>
    </xf>
    <xf numFmtId="177" fontId="85" fillId="29" borderId="3" xfId="0" applyNumberFormat="1" applyFont="1" applyFill="1" applyBorder="1" applyAlignment="1">
      <alignment horizontal="right" vertical="center" wrapText="1"/>
    </xf>
    <xf numFmtId="179" fontId="5" fillId="29" borderId="3" xfId="207" applyNumberFormat="1" applyFont="1" applyFill="1" applyBorder="1" applyAlignment="1">
      <alignment horizontal="right" vertical="center" wrapText="1"/>
    </xf>
    <xf numFmtId="3" fontId="85" fillId="29" borderId="3" xfId="0" applyNumberFormat="1" applyFont="1" applyFill="1" applyBorder="1" applyAlignment="1">
      <alignment horizontal="center" vertical="center" wrapText="1" shrinkToFit="1"/>
    </xf>
    <xf numFmtId="3" fontId="85" fillId="29" borderId="3" xfId="0" applyNumberFormat="1" applyFont="1" applyFill="1" applyBorder="1" applyAlignment="1">
      <alignment horizontal="center" vertical="center" wrapText="1"/>
    </xf>
    <xf numFmtId="0" fontId="72" fillId="29" borderId="0" xfId="0" applyFont="1" applyFill="1" applyAlignment="1">
      <alignment vertical="center"/>
    </xf>
    <xf numFmtId="170" fontId="85" fillId="29" borderId="3" xfId="0" applyNumberFormat="1" applyFont="1" applyFill="1" applyBorder="1" applyAlignment="1">
      <alignment horizontal="center" vertical="center" wrapText="1"/>
    </xf>
    <xf numFmtId="170" fontId="73" fillId="29" borderId="3" xfId="0" applyNumberFormat="1" applyFont="1" applyFill="1" applyBorder="1" applyAlignment="1">
      <alignment horizontal="center" vertical="center" wrapText="1"/>
    </xf>
    <xf numFmtId="3" fontId="86" fillId="29" borderId="3" xfId="0" applyNumberFormat="1" applyFont="1" applyFill="1" applyBorder="1" applyAlignment="1">
      <alignment horizontal="center" vertical="center" wrapText="1" shrinkToFit="1"/>
    </xf>
    <xf numFmtId="170" fontId="83" fillId="29" borderId="3" xfId="0" applyNumberFormat="1" applyFont="1" applyFill="1" applyBorder="1" applyAlignment="1">
      <alignment horizontal="center" vertical="center" wrapText="1"/>
    </xf>
    <xf numFmtId="3" fontId="86" fillId="29" borderId="3" xfId="0" applyNumberFormat="1" applyFont="1" applyFill="1" applyBorder="1" applyAlignment="1">
      <alignment horizontal="center" vertical="center" wrapText="1"/>
    </xf>
    <xf numFmtId="3" fontId="83" fillId="29" borderId="3" xfId="0" applyNumberFormat="1" applyFont="1" applyFill="1" applyBorder="1" applyAlignment="1">
      <alignment horizontal="center" vertical="center" wrapText="1"/>
    </xf>
    <xf numFmtId="177" fontId="83" fillId="29" borderId="19" xfId="0" applyNumberFormat="1" applyFont="1" applyFill="1" applyBorder="1" applyAlignment="1">
      <alignment horizontal="center" vertical="center" wrapText="1"/>
    </xf>
    <xf numFmtId="177" fontId="83" fillId="29" borderId="19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center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13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4" fillId="29" borderId="0" xfId="0" applyFont="1" applyFill="1" applyBorder="1" applyAlignment="1">
      <alignment horizontal="center" vertical="center" wrapText="1"/>
    </xf>
    <xf numFmtId="0" fontId="5" fillId="29" borderId="3" xfId="246" applyFont="1" applyFill="1" applyBorder="1" applyAlignment="1">
      <alignment horizontal="center" vertical="center"/>
    </xf>
    <xf numFmtId="0" fontId="5" fillId="29" borderId="3" xfId="246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 wrapText="1" shrinkToFi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/>
    </xf>
    <xf numFmtId="49" fontId="4" fillId="29" borderId="3" xfId="0" applyNumberFormat="1" applyFont="1" applyFill="1" applyBorder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left" vertical="center" wrapText="1"/>
    </xf>
    <xf numFmtId="49" fontId="5" fillId="29" borderId="15" xfId="0" applyNumberFormat="1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center" vertical="center" wrapText="1"/>
    </xf>
    <xf numFmtId="170" fontId="78" fillId="29" borderId="15" xfId="0" applyNumberFormat="1" applyFont="1" applyFill="1" applyBorder="1" applyAlignment="1">
      <alignment horizontal="center" vertical="center" wrapText="1"/>
    </xf>
    <xf numFmtId="170" fontId="78" fillId="29" borderId="16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8" fillId="29" borderId="3" xfId="0" applyNumberFormat="1" applyFont="1" applyFill="1" applyBorder="1" applyAlignment="1">
      <alignment horizontal="center" vertical="center" wrapText="1"/>
    </xf>
    <xf numFmtId="3" fontId="73" fillId="29" borderId="3" xfId="0" applyNumberFormat="1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 applyProtection="1">
      <alignment horizontal="lef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0" fontId="5" fillId="29" borderId="0" xfId="0" applyFont="1" applyFill="1" applyAlignment="1">
      <alignment horizontal="center" vertical="center"/>
    </xf>
    <xf numFmtId="0" fontId="78" fillId="29" borderId="17" xfId="0" applyFont="1" applyFill="1" applyBorder="1" applyAlignment="1">
      <alignment horizontal="center" vertical="center" wrapText="1"/>
    </xf>
    <xf numFmtId="3" fontId="78" fillId="29" borderId="3" xfId="0" applyNumberFormat="1" applyFont="1" applyFill="1" applyBorder="1" applyAlignment="1">
      <alignment horizontal="center" vertical="center" wrapText="1"/>
    </xf>
    <xf numFmtId="0" fontId="78" fillId="29" borderId="3" xfId="0" applyNumberFormat="1" applyFont="1" applyFill="1" applyBorder="1" applyAlignment="1">
      <alignment horizontal="center" vertical="center" wrapText="1"/>
    </xf>
    <xf numFmtId="0" fontId="78" fillId="29" borderId="0" xfId="0" applyFont="1" applyFill="1" applyAlignment="1">
      <alignment horizontal="right" vertical="center"/>
    </xf>
    <xf numFmtId="0" fontId="78" fillId="29" borderId="14" xfId="0" applyFont="1" applyFill="1" applyBorder="1" applyAlignment="1">
      <alignment horizontal="center" vertical="center" wrapText="1" shrinkToFit="1"/>
    </xf>
    <xf numFmtId="0" fontId="5" fillId="29" borderId="0" xfId="0" applyFont="1" applyFill="1" applyAlignment="1">
      <alignment horizontal="center" vertical="top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0" fontId="9" fillId="29" borderId="0" xfId="0" applyFont="1" applyFill="1" applyBorder="1" applyAlignment="1">
      <alignment horizontal="center" vertical="top"/>
    </xf>
    <xf numFmtId="0" fontId="86" fillId="29" borderId="3" xfId="0" applyFont="1" applyFill="1" applyBorder="1" applyAlignment="1">
      <alignment vertical="center"/>
    </xf>
    <xf numFmtId="0" fontId="86" fillId="29" borderId="3" xfId="0" applyFont="1" applyFill="1" applyBorder="1" applyAlignment="1">
      <alignment horizontal="right" vertical="center"/>
    </xf>
    <xf numFmtId="49" fontId="86" fillId="29" borderId="3" xfId="0" applyNumberFormat="1" applyFont="1" applyFill="1" applyBorder="1" applyAlignment="1">
      <alignment horizontal="right" vertical="center"/>
    </xf>
    <xf numFmtId="0" fontId="86" fillId="29" borderId="16" xfId="0" applyFont="1" applyFill="1" applyBorder="1" applyAlignment="1">
      <alignment horizontal="right" vertical="center"/>
    </xf>
    <xf numFmtId="0" fontId="78" fillId="29" borderId="17" xfId="0" applyFont="1" applyFill="1" applyBorder="1" applyAlignment="1" applyProtection="1">
      <alignment vertical="center" wrapText="1"/>
    </xf>
    <xf numFmtId="173" fontId="87" fillId="29" borderId="19" xfId="0" applyNumberFormat="1" applyFont="1" applyFill="1" applyBorder="1" applyAlignment="1">
      <alignment horizontal="center" vertical="center" wrapText="1"/>
    </xf>
    <xf numFmtId="3" fontId="85" fillId="29" borderId="19" xfId="0" applyNumberFormat="1" applyFont="1" applyFill="1" applyBorder="1" applyAlignment="1">
      <alignment horizontal="right" vertical="center" wrapText="1"/>
    </xf>
    <xf numFmtId="3" fontId="86" fillId="29" borderId="19" xfId="0" applyNumberFormat="1" applyFont="1" applyFill="1" applyBorder="1" applyAlignment="1">
      <alignment horizontal="right" vertical="center" wrapText="1"/>
    </xf>
    <xf numFmtId="177" fontId="86" fillId="29" borderId="19" xfId="0" applyNumberFormat="1" applyFont="1" applyFill="1" applyBorder="1" applyAlignment="1">
      <alignment horizontal="center" vertical="center" wrapText="1"/>
    </xf>
    <xf numFmtId="180" fontId="78" fillId="29" borderId="3" xfId="0" applyNumberFormat="1" applyFont="1" applyFill="1" applyBorder="1" applyAlignment="1">
      <alignment horizontal="center" vertical="center" wrapText="1"/>
    </xf>
    <xf numFmtId="181" fontId="73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vertical="center" wrapText="1"/>
    </xf>
    <xf numFmtId="179" fontId="73" fillId="29" borderId="3" xfId="0" applyNumberFormat="1" applyFont="1" applyFill="1" applyBorder="1" applyAlignment="1">
      <alignment vertical="center" wrapText="1"/>
    </xf>
    <xf numFmtId="173" fontId="73" fillId="29" borderId="3" xfId="0" applyNumberFormat="1" applyFont="1" applyFill="1" applyBorder="1" applyAlignment="1">
      <alignment horizontal="right" vertical="center" wrapText="1"/>
    </xf>
    <xf numFmtId="3" fontId="73" fillId="29" borderId="3" xfId="0" applyNumberFormat="1" applyFont="1" applyFill="1" applyBorder="1" applyAlignment="1">
      <alignment vertical="center" wrapText="1"/>
    </xf>
    <xf numFmtId="170" fontId="5" fillId="29" borderId="3" xfId="0" quotePrefix="1" applyNumberFormat="1" applyFont="1" applyFill="1" applyBorder="1" applyAlignment="1">
      <alignment horizontal="center" vertical="center"/>
    </xf>
    <xf numFmtId="170" fontId="4" fillId="29" borderId="3" xfId="0" applyNumberFormat="1" applyFont="1" applyFill="1" applyBorder="1" applyAlignment="1">
      <alignment horizontal="center" vertical="center"/>
    </xf>
    <xf numFmtId="0" fontId="86" fillId="29" borderId="0" xfId="0" applyFont="1" applyFill="1" applyBorder="1" applyAlignment="1">
      <alignment horizontal="center" vertical="center" wrapText="1"/>
    </xf>
    <xf numFmtId="173" fontId="98" fillId="29" borderId="3" xfId="0" applyNumberFormat="1" applyFont="1" applyFill="1" applyBorder="1" applyAlignment="1">
      <alignment horizontal="center" vertical="center" wrapText="1"/>
    </xf>
    <xf numFmtId="173" fontId="99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78" fillId="29" borderId="0" xfId="0" applyFont="1" applyFill="1" applyBorder="1" applyAlignment="1" applyProtection="1">
      <alignment horizontal="center" vertical="center"/>
    </xf>
    <xf numFmtId="170" fontId="6" fillId="29" borderId="3" xfId="0" applyNumberFormat="1" applyFont="1" applyFill="1" applyBorder="1" applyAlignment="1">
      <alignment horizontal="center" vertical="center" wrapText="1"/>
    </xf>
    <xf numFmtId="170" fontId="5" fillId="29" borderId="3" xfId="0" applyNumberFormat="1" applyFont="1" applyFill="1" applyBorder="1" applyAlignment="1">
      <alignment horizontal="center" wrapText="1"/>
    </xf>
    <xf numFmtId="170" fontId="5" fillId="29" borderId="3" xfId="0" quotePrefix="1" applyNumberFormat="1" applyFont="1" applyFill="1" applyBorder="1" applyAlignment="1">
      <alignment horizontal="right" vertical="center"/>
    </xf>
    <xf numFmtId="3" fontId="5" fillId="29" borderId="3" xfId="0" applyNumberFormat="1" applyFont="1" applyFill="1" applyBorder="1" applyAlignment="1">
      <alignment horizontal="center" vertical="center" wrapText="1"/>
    </xf>
    <xf numFmtId="3" fontId="4" fillId="29" borderId="3" xfId="0" applyNumberFormat="1" applyFont="1" applyFill="1" applyBorder="1" applyAlignment="1">
      <alignment horizontal="right" vertical="center" wrapText="1"/>
    </xf>
    <xf numFmtId="3" fontId="5" fillId="29" borderId="3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/>
    <xf numFmtId="0" fontId="95" fillId="29" borderId="0" xfId="0" applyFont="1" applyFill="1" applyAlignment="1">
      <alignment vertical="top"/>
    </xf>
    <xf numFmtId="0" fontId="9" fillId="29" borderId="0" xfId="0" applyFont="1" applyFill="1" applyBorder="1" applyAlignment="1">
      <alignment horizontal="center" wrapText="1"/>
    </xf>
    <xf numFmtId="0" fontId="9" fillId="29" borderId="14" xfId="0" applyFont="1" applyFill="1" applyBorder="1" applyAlignment="1">
      <alignment horizontal="center" vertical="center"/>
    </xf>
    <xf numFmtId="0" fontId="9" fillId="29" borderId="14" xfId="0" applyFont="1" applyFill="1" applyBorder="1" applyAlignment="1">
      <alignment horizontal="center" vertical="center" wrapText="1"/>
    </xf>
    <xf numFmtId="0" fontId="9" fillId="29" borderId="14" xfId="0" applyFont="1" applyFill="1" applyBorder="1" applyAlignment="1">
      <alignment horizontal="center" vertical="center" wrapText="1" shrinkToFit="1"/>
    </xf>
    <xf numFmtId="170" fontId="96" fillId="29" borderId="3" xfId="0" applyNumberFormat="1" applyFont="1" applyFill="1" applyBorder="1" applyAlignment="1">
      <alignment horizontal="center" vertical="center" wrapText="1"/>
    </xf>
    <xf numFmtId="170" fontId="93" fillId="29" borderId="3" xfId="0" applyNumberFormat="1" applyFont="1" applyFill="1" applyBorder="1" applyAlignment="1">
      <alignment horizontal="center" vertical="center" wrapText="1"/>
    </xf>
    <xf numFmtId="170" fontId="9" fillId="29" borderId="3" xfId="0" applyNumberFormat="1" applyFont="1" applyFill="1" applyBorder="1" applyAlignment="1">
      <alignment horizontal="center" vertical="center" wrapText="1"/>
    </xf>
    <xf numFmtId="170" fontId="72" fillId="29" borderId="3" xfId="0" applyNumberFormat="1" applyFont="1" applyFill="1" applyBorder="1" applyAlignment="1">
      <alignment horizontal="center" vertical="center" wrapText="1"/>
    </xf>
    <xf numFmtId="170" fontId="92" fillId="29" borderId="3" xfId="0" applyNumberFormat="1" applyFont="1" applyFill="1" applyBorder="1" applyAlignment="1">
      <alignment horizontal="center" vertical="center" wrapText="1"/>
    </xf>
    <xf numFmtId="170" fontId="72" fillId="29" borderId="3" xfId="0" applyNumberFormat="1" applyFont="1" applyFill="1" applyBorder="1" applyAlignment="1">
      <alignment horizontal="center" vertical="center"/>
    </xf>
    <xf numFmtId="170" fontId="92" fillId="29" borderId="3" xfId="0" applyNumberFormat="1" applyFont="1" applyFill="1" applyBorder="1" applyAlignment="1">
      <alignment horizontal="center" vertical="center"/>
    </xf>
    <xf numFmtId="0" fontId="11" fillId="29" borderId="0" xfId="0" applyFont="1" applyFill="1" applyBorder="1" applyAlignment="1">
      <alignment vertical="top"/>
    </xf>
    <xf numFmtId="0" fontId="9" fillId="29" borderId="0" xfId="0" applyFont="1" applyFill="1" applyBorder="1" applyAlignment="1"/>
    <xf numFmtId="170" fontId="72" fillId="29" borderId="3" xfId="0" quotePrefix="1" applyNumberFormat="1" applyFont="1" applyFill="1" applyBorder="1" applyAlignment="1">
      <alignment horizontal="center" vertical="center"/>
    </xf>
    <xf numFmtId="0" fontId="96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/>
    </xf>
    <xf numFmtId="49" fontId="5" fillId="22" borderId="19" xfId="0" applyNumberFormat="1" applyFont="1" applyFill="1" applyBorder="1" applyAlignment="1">
      <alignment vertical="top" wrapText="1"/>
    </xf>
    <xf numFmtId="170" fontId="5" fillId="30" borderId="3" xfId="0" applyNumberFormat="1" applyFont="1" applyFill="1" applyBorder="1" applyAlignment="1">
      <alignment horizontal="right" vertical="center" wrapText="1"/>
    </xf>
    <xf numFmtId="173" fontId="85" fillId="31" borderId="19" xfId="0" applyNumberFormat="1" applyFont="1" applyFill="1" applyBorder="1" applyAlignment="1">
      <alignment horizontal="center" vertical="center" wrapText="1"/>
    </xf>
    <xf numFmtId="177" fontId="85" fillId="31" borderId="3" xfId="0" applyNumberFormat="1" applyFont="1" applyFill="1" applyBorder="1" applyAlignment="1">
      <alignment horizontal="center" vertical="center" wrapText="1"/>
    </xf>
    <xf numFmtId="177" fontId="73" fillId="31" borderId="3" xfId="0" applyNumberFormat="1" applyFont="1" applyFill="1" applyBorder="1" applyAlignment="1">
      <alignment horizontal="center" vertical="center" wrapText="1"/>
    </xf>
    <xf numFmtId="177" fontId="73" fillId="31" borderId="19" xfId="0" applyNumberFormat="1" applyFont="1" applyFill="1" applyBorder="1" applyAlignment="1">
      <alignment horizontal="right" vertical="center" wrapText="1"/>
    </xf>
    <xf numFmtId="3" fontId="87" fillId="31" borderId="19" xfId="0" applyNumberFormat="1" applyFont="1" applyFill="1" applyBorder="1" applyAlignment="1">
      <alignment horizontal="right" vertical="center" wrapText="1"/>
    </xf>
    <xf numFmtId="170" fontId="5" fillId="31" borderId="3" xfId="0" applyNumberFormat="1" applyFont="1" applyFill="1" applyBorder="1" applyAlignment="1">
      <alignment horizontal="center" vertical="center"/>
    </xf>
    <xf numFmtId="173" fontId="99" fillId="30" borderId="3" xfId="0" applyNumberFormat="1" applyFont="1" applyFill="1" applyBorder="1" applyAlignment="1">
      <alignment horizontal="center" vertical="center" wrapText="1"/>
    </xf>
    <xf numFmtId="173" fontId="78" fillId="31" borderId="3" xfId="0" applyNumberFormat="1" applyFont="1" applyFill="1" applyBorder="1" applyAlignment="1">
      <alignment horizontal="center" vertical="center" wrapText="1"/>
    </xf>
    <xf numFmtId="170" fontId="92" fillId="31" borderId="3" xfId="0" applyNumberFormat="1" applyFont="1" applyFill="1" applyBorder="1" applyAlignment="1">
      <alignment horizontal="center" vertical="center" wrapText="1"/>
    </xf>
    <xf numFmtId="177" fontId="4" fillId="30" borderId="3" xfId="0" applyNumberFormat="1" applyFont="1" applyFill="1" applyBorder="1" applyAlignment="1">
      <alignment horizontal="center" vertical="center" wrapText="1"/>
    </xf>
    <xf numFmtId="0" fontId="5" fillId="31" borderId="0" xfId="0" applyFont="1" applyFill="1" applyBorder="1" applyAlignment="1">
      <alignment horizontal="center" vertical="center"/>
    </xf>
    <xf numFmtId="0" fontId="4" fillId="31" borderId="0" xfId="0" applyFont="1" applyFill="1" applyBorder="1" applyAlignment="1">
      <alignment horizontal="center" vertical="center" wrapText="1"/>
    </xf>
    <xf numFmtId="0" fontId="5" fillId="31" borderId="3" xfId="0" applyFont="1" applyFill="1" applyBorder="1" applyAlignment="1">
      <alignment horizontal="center" vertical="center" wrapText="1"/>
    </xf>
    <xf numFmtId="170" fontId="5" fillId="31" borderId="3" xfId="0" applyNumberFormat="1" applyFont="1" applyFill="1" applyBorder="1" applyAlignment="1">
      <alignment horizontal="center" vertical="center" wrapText="1"/>
    </xf>
    <xf numFmtId="170" fontId="6" fillId="31" borderId="3" xfId="0" applyNumberFormat="1" applyFont="1" applyFill="1" applyBorder="1" applyAlignment="1">
      <alignment horizontal="center" vertical="center" wrapText="1"/>
    </xf>
    <xf numFmtId="170" fontId="4" fillId="31" borderId="3" xfId="0" applyNumberFormat="1" applyFont="1" applyFill="1" applyBorder="1" applyAlignment="1">
      <alignment horizontal="center" vertical="center" wrapText="1"/>
    </xf>
    <xf numFmtId="170" fontId="5" fillId="31" borderId="3" xfId="0" applyNumberFormat="1" applyFont="1" applyFill="1" applyBorder="1" applyAlignment="1">
      <alignment horizontal="center" wrapText="1"/>
    </xf>
    <xf numFmtId="170" fontId="4" fillId="31" borderId="3" xfId="0" applyNumberFormat="1" applyFont="1" applyFill="1" applyBorder="1" applyAlignment="1">
      <alignment horizontal="center" vertical="center"/>
    </xf>
    <xf numFmtId="170" fontId="5" fillId="31" borderId="0" xfId="0" quotePrefix="1" applyNumberFormat="1" applyFont="1" applyFill="1" applyBorder="1" applyAlignment="1">
      <alignment vertical="center" wrapText="1"/>
    </xf>
    <xf numFmtId="170" fontId="5" fillId="31" borderId="0" xfId="0" applyNumberFormat="1" applyFont="1" applyFill="1" applyBorder="1" applyAlignment="1">
      <alignment horizontal="center" vertical="center"/>
    </xf>
    <xf numFmtId="179" fontId="73" fillId="29" borderId="3" xfId="0" applyNumberFormat="1" applyFont="1" applyFill="1" applyBorder="1" applyAlignment="1">
      <alignment horizontal="center" vertical="center" wrapText="1"/>
    </xf>
    <xf numFmtId="179" fontId="78" fillId="31" borderId="3" xfId="0" applyNumberFormat="1" applyFont="1" applyFill="1" applyBorder="1" applyAlignment="1">
      <alignment horizontal="center" vertical="center" wrapText="1"/>
    </xf>
    <xf numFmtId="179" fontId="73" fillId="31" borderId="3" xfId="0" applyNumberFormat="1" applyFont="1" applyFill="1" applyBorder="1" applyAlignment="1">
      <alignment horizontal="center" vertical="center" wrapText="1"/>
    </xf>
    <xf numFmtId="0" fontId="91" fillId="29" borderId="13" xfId="0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center" vertical="center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75" fillId="29" borderId="33" xfId="0" applyFont="1" applyFill="1" applyBorder="1" applyAlignment="1">
      <alignment horizontal="center" vertical="center" wrapText="1"/>
    </xf>
    <xf numFmtId="0" fontId="75" fillId="29" borderId="34" xfId="0" applyFont="1" applyFill="1" applyBorder="1" applyAlignment="1">
      <alignment horizontal="center" vertical="center" wrapText="1"/>
    </xf>
    <xf numFmtId="0" fontId="75" fillId="29" borderId="35" xfId="0" applyFont="1" applyFill="1" applyBorder="1" applyAlignment="1">
      <alignment horizontal="center" vertical="center" wrapText="1"/>
    </xf>
    <xf numFmtId="0" fontId="75" fillId="29" borderId="23" xfId="238" applyNumberFormat="1" applyFont="1" applyFill="1" applyBorder="1" applyAlignment="1">
      <alignment horizontal="center" vertical="center" wrapText="1"/>
    </xf>
    <xf numFmtId="0" fontId="75" fillId="29" borderId="24" xfId="238" applyNumberFormat="1" applyFont="1" applyFill="1" applyBorder="1" applyAlignment="1">
      <alignment horizontal="center" vertical="center" wrapText="1"/>
    </xf>
    <xf numFmtId="0" fontId="75" fillId="29" borderId="25" xfId="238" applyNumberFormat="1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17" xfId="0" applyFont="1" applyFill="1" applyBorder="1" applyAlignment="1">
      <alignment horizontal="left" vertical="center" wrapText="1"/>
    </xf>
    <xf numFmtId="0" fontId="78" fillId="29" borderId="17" xfId="0" applyFont="1" applyFill="1" applyBorder="1" applyAlignment="1" applyProtection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Border="1" applyAlignment="1">
      <alignment horizontal="center" vertical="center"/>
    </xf>
    <xf numFmtId="0" fontId="75" fillId="29" borderId="15" xfId="0" applyFont="1" applyFill="1" applyBorder="1" applyAlignment="1">
      <alignment horizontal="left" vertical="center" wrapText="1"/>
    </xf>
    <xf numFmtId="0" fontId="75" fillId="29" borderId="17" xfId="0" applyFont="1" applyFill="1" applyBorder="1" applyAlignment="1">
      <alignment horizontal="left" vertical="center" wrapText="1"/>
    </xf>
    <xf numFmtId="0" fontId="75" fillId="29" borderId="16" xfId="0" applyFont="1" applyFill="1" applyBorder="1" applyAlignment="1">
      <alignment horizontal="left" vertical="center" wrapText="1"/>
    </xf>
    <xf numFmtId="0" fontId="74" fillId="29" borderId="20" xfId="0" applyFont="1" applyFill="1" applyBorder="1" applyAlignment="1">
      <alignment horizontal="center" vertical="center" wrapText="1"/>
    </xf>
    <xf numFmtId="0" fontId="74" fillId="29" borderId="21" xfId="0" applyFont="1" applyFill="1" applyBorder="1" applyAlignment="1">
      <alignment horizontal="center" vertical="center" wrapText="1"/>
    </xf>
    <xf numFmtId="0" fontId="74" fillId="29" borderId="22" xfId="0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center" vertical="center"/>
    </xf>
    <xf numFmtId="0" fontId="78" fillId="29" borderId="3" xfId="246" applyFont="1" applyFill="1" applyBorder="1" applyAlignment="1">
      <alignment horizontal="center" vertical="center"/>
    </xf>
    <xf numFmtId="170" fontId="78" fillId="29" borderId="13" xfId="0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/>
    </xf>
    <xf numFmtId="0" fontId="75" fillId="29" borderId="20" xfId="0" applyFont="1" applyFill="1" applyBorder="1" applyAlignment="1" applyProtection="1">
      <alignment horizontal="center" vertical="center" wrapText="1"/>
      <protection locked="0"/>
    </xf>
    <xf numFmtId="0" fontId="75" fillId="29" borderId="21" xfId="0" applyFont="1" applyFill="1" applyBorder="1" applyAlignment="1" applyProtection="1">
      <alignment horizontal="center" vertical="center" wrapText="1"/>
      <protection locked="0"/>
    </xf>
    <xf numFmtId="0" fontId="75" fillId="29" borderId="22" xfId="0" applyFont="1" applyFill="1" applyBorder="1" applyAlignment="1" applyProtection="1">
      <alignment horizontal="center" vertical="center" wrapText="1"/>
      <protection locked="0"/>
    </xf>
    <xf numFmtId="0" fontId="74" fillId="29" borderId="0" xfId="0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72" fillId="29" borderId="0" xfId="0" applyFont="1" applyFill="1" applyBorder="1" applyAlignment="1">
      <alignment horizontal="left" vertical="center"/>
    </xf>
    <xf numFmtId="0" fontId="72" fillId="29" borderId="18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center" vertical="center"/>
    </xf>
    <xf numFmtId="0" fontId="4" fillId="29" borderId="17" xfId="0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170" fontId="86" fillId="29" borderId="0" xfId="0" applyNumberFormat="1" applyFont="1" applyFill="1" applyBorder="1" applyAlignment="1">
      <alignment horizontal="left" vertical="center" wrapText="1"/>
    </xf>
    <xf numFmtId="0" fontId="86" fillId="29" borderId="13" xfId="0" applyFont="1" applyFill="1" applyBorder="1" applyAlignment="1">
      <alignment horizontal="center" vertical="center"/>
    </xf>
    <xf numFmtId="0" fontId="74" fillId="29" borderId="0" xfId="246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left" vertical="center"/>
    </xf>
    <xf numFmtId="0" fontId="96" fillId="29" borderId="15" xfId="246" applyFont="1" applyFill="1" applyBorder="1" applyAlignment="1">
      <alignment horizontal="center" vertical="center" wrapText="1"/>
    </xf>
    <xf numFmtId="0" fontId="96" fillId="29" borderId="17" xfId="246" applyFont="1" applyFill="1" applyBorder="1" applyAlignment="1">
      <alignment horizontal="center" vertical="center" wrapText="1"/>
    </xf>
    <xf numFmtId="0" fontId="96" fillId="29" borderId="16" xfId="246" applyFont="1" applyFill="1" applyBorder="1" applyAlignment="1">
      <alignment horizontal="center" vertical="center" wrapText="1"/>
    </xf>
    <xf numFmtId="0" fontId="5" fillId="29" borderId="13" xfId="246" applyFont="1" applyFill="1" applyBorder="1" applyAlignment="1">
      <alignment horizontal="right" vertical="center"/>
    </xf>
    <xf numFmtId="0" fontId="5" fillId="29" borderId="3" xfId="246" applyFont="1" applyFill="1" applyBorder="1" applyAlignment="1">
      <alignment horizontal="center" vertical="center"/>
    </xf>
    <xf numFmtId="0" fontId="5" fillId="29" borderId="3" xfId="246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5" fillId="29" borderId="15" xfId="246" applyFont="1" applyFill="1" applyBorder="1" applyAlignment="1">
      <alignment horizontal="center" vertical="center"/>
    </xf>
    <xf numFmtId="0" fontId="5" fillId="29" borderId="17" xfId="246" applyFont="1" applyFill="1" applyBorder="1" applyAlignment="1">
      <alignment horizontal="center" vertical="center"/>
    </xf>
    <xf numFmtId="0" fontId="5" fillId="29" borderId="16" xfId="246" applyFont="1" applyFill="1" applyBorder="1" applyAlignment="1">
      <alignment horizontal="center" vertical="center"/>
    </xf>
    <xf numFmtId="0" fontId="78" fillId="29" borderId="13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 wrapText="1" shrinkToFit="1"/>
    </xf>
    <xf numFmtId="0" fontId="6" fillId="29" borderId="3" xfId="0" applyFont="1" applyFill="1" applyBorder="1" applyAlignment="1">
      <alignment horizontal="center" vertical="center" wrapText="1"/>
    </xf>
    <xf numFmtId="49" fontId="4" fillId="29" borderId="15" xfId="0" applyNumberFormat="1" applyFont="1" applyFill="1" applyBorder="1" applyAlignment="1">
      <alignment horizontal="left" vertical="center"/>
    </xf>
    <xf numFmtId="49" fontId="4" fillId="29" borderId="16" xfId="0" applyNumberFormat="1" applyFont="1" applyFill="1" applyBorder="1" applyAlignment="1">
      <alignment horizontal="left" vertical="center"/>
    </xf>
    <xf numFmtId="0" fontId="4" fillId="29" borderId="3" xfId="0" applyFont="1" applyFill="1" applyBorder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left" vertical="center"/>
    </xf>
    <xf numFmtId="0" fontId="9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left" vertical="center" wrapText="1"/>
    </xf>
    <xf numFmtId="0" fontId="6" fillId="29" borderId="15" xfId="0" applyFont="1" applyFill="1" applyBorder="1" applyAlignment="1">
      <alignment horizontal="center" vertical="center" wrapText="1"/>
    </xf>
    <xf numFmtId="0" fontId="6" fillId="29" borderId="16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left" vertical="center"/>
    </xf>
    <xf numFmtId="0" fontId="4" fillId="29" borderId="16" xfId="0" applyFont="1" applyFill="1" applyBorder="1" applyAlignment="1">
      <alignment horizontal="left" vertical="center"/>
    </xf>
    <xf numFmtId="49" fontId="6" fillId="29" borderId="3" xfId="0" applyNumberFormat="1" applyFont="1" applyFill="1" applyBorder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left" vertical="center" wrapText="1"/>
    </xf>
    <xf numFmtId="49" fontId="5" fillId="29" borderId="15" xfId="0" applyNumberFormat="1" applyFont="1" applyFill="1" applyBorder="1" applyAlignment="1">
      <alignment horizontal="left" vertical="center" wrapText="1"/>
    </xf>
    <xf numFmtId="49" fontId="5" fillId="29" borderId="16" xfId="0" applyNumberFormat="1" applyFont="1" applyFill="1" applyBorder="1" applyAlignment="1">
      <alignment horizontal="left" vertical="center" wrapText="1"/>
    </xf>
    <xf numFmtId="49" fontId="4" fillId="29" borderId="3" xfId="0" applyNumberFormat="1" applyFont="1" applyFill="1" applyBorder="1" applyAlignment="1">
      <alignment horizontal="left" vertical="top" wrapText="1"/>
    </xf>
    <xf numFmtId="0" fontId="5" fillId="29" borderId="0" xfId="0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/>
    </xf>
    <xf numFmtId="170" fontId="5" fillId="29" borderId="0" xfId="0" applyNumberFormat="1" applyFont="1" applyFill="1" applyAlignment="1">
      <alignment horizontal="center" vertical="center"/>
    </xf>
    <xf numFmtId="49" fontId="4" fillId="29" borderId="3" xfId="0" applyNumberFormat="1" applyFont="1" applyFill="1" applyBorder="1" applyAlignment="1">
      <alignment horizontal="center" vertical="center" wrapText="1"/>
    </xf>
    <xf numFmtId="49" fontId="6" fillId="29" borderId="15" xfId="0" applyNumberFormat="1" applyFont="1" applyFill="1" applyBorder="1" applyAlignment="1">
      <alignment horizontal="center" vertical="center" wrapText="1"/>
    </xf>
    <xf numFmtId="49" fontId="6" fillId="29" borderId="16" xfId="0" applyNumberFormat="1" applyFont="1" applyFill="1" applyBorder="1" applyAlignment="1">
      <alignment horizontal="center" vertical="center" wrapText="1"/>
    </xf>
    <xf numFmtId="49" fontId="4" fillId="29" borderId="15" xfId="0" applyNumberFormat="1" applyFont="1" applyFill="1" applyBorder="1" applyAlignment="1">
      <alignment horizontal="left" vertical="center" wrapText="1"/>
    </xf>
    <xf numFmtId="49" fontId="4" fillId="29" borderId="16" xfId="0" applyNumberFormat="1" applyFont="1" applyFill="1" applyBorder="1" applyAlignment="1">
      <alignment horizontal="left" vertical="center" wrapText="1"/>
    </xf>
    <xf numFmtId="0" fontId="78" fillId="29" borderId="14" xfId="0" applyFont="1" applyFill="1" applyBorder="1" applyAlignment="1">
      <alignment horizontal="center" vertical="center"/>
    </xf>
    <xf numFmtId="0" fontId="78" fillId="29" borderId="19" xfId="0" applyFont="1" applyFill="1" applyBorder="1" applyAlignment="1">
      <alignment horizontal="center" vertical="center"/>
    </xf>
    <xf numFmtId="0" fontId="78" fillId="29" borderId="13" xfId="0" applyFont="1" applyFill="1" applyBorder="1" applyAlignment="1">
      <alignment horizontal="right" vertical="center"/>
    </xf>
    <xf numFmtId="0" fontId="73" fillId="29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78" fillId="29" borderId="15" xfId="0" applyNumberFormat="1" applyFont="1" applyFill="1" applyBorder="1" applyAlignment="1">
      <alignment horizontal="center" vertical="center"/>
    </xf>
    <xf numFmtId="4" fontId="78" fillId="29" borderId="16" xfId="0" applyNumberFormat="1" applyFont="1" applyFill="1" applyBorder="1" applyAlignment="1">
      <alignment horizontal="center" vertical="center"/>
    </xf>
    <xf numFmtId="3" fontId="5" fillId="29" borderId="15" xfId="0" applyNumberFormat="1" applyFont="1" applyFill="1" applyBorder="1" applyAlignment="1" applyProtection="1">
      <alignment horizontal="center" vertical="center" wrapText="1"/>
    </xf>
    <xf numFmtId="3" fontId="5" fillId="29" borderId="16" xfId="0" applyNumberFormat="1" applyFont="1" applyFill="1" applyBorder="1" applyAlignment="1" applyProtection="1">
      <alignment horizontal="center" vertical="center" wrapText="1"/>
    </xf>
    <xf numFmtId="170" fontId="5" fillId="29" borderId="15" xfId="0" applyNumberFormat="1" applyFont="1" applyFill="1" applyBorder="1" applyAlignment="1">
      <alignment horizontal="center" vertical="center"/>
    </xf>
    <xf numFmtId="170" fontId="5" fillId="29" borderId="16" xfId="0" applyNumberFormat="1" applyFont="1" applyFill="1" applyBorder="1" applyAlignment="1">
      <alignment horizontal="center" vertical="center"/>
    </xf>
    <xf numFmtId="170" fontId="5" fillId="29" borderId="15" xfId="0" applyNumberFormat="1" applyFont="1" applyFill="1" applyBorder="1" applyAlignment="1" applyProtection="1">
      <alignment horizontal="center" vertical="center" wrapText="1"/>
    </xf>
    <xf numFmtId="170" fontId="5" fillId="29" borderId="16" xfId="0" applyNumberFormat="1" applyFont="1" applyFill="1" applyBorder="1" applyAlignment="1" applyProtection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4" fontId="5" fillId="29" borderId="15" xfId="0" applyNumberFormat="1" applyFont="1" applyFill="1" applyBorder="1" applyAlignment="1">
      <alignment horizontal="center" vertical="center" wrapText="1"/>
    </xf>
    <xf numFmtId="4" fontId="5" fillId="29" borderId="16" xfId="0" applyNumberFormat="1" applyFont="1" applyFill="1" applyBorder="1" applyAlignment="1">
      <alignment horizontal="center" vertical="center" wrapText="1"/>
    </xf>
    <xf numFmtId="3" fontId="5" fillId="29" borderId="17" xfId="0" applyNumberFormat="1" applyFont="1" applyFill="1" applyBorder="1" applyAlignment="1" applyProtection="1">
      <alignment horizontal="center" vertical="center" wrapText="1"/>
    </xf>
    <xf numFmtId="0" fontId="97" fillId="29" borderId="30" xfId="0" applyFont="1" applyFill="1" applyBorder="1" applyAlignment="1">
      <alignment horizontal="center" vertical="center"/>
    </xf>
    <xf numFmtId="0" fontId="97" fillId="29" borderId="0" xfId="0" applyFont="1" applyFill="1" applyAlignment="1">
      <alignment horizontal="center" vertical="center"/>
    </xf>
    <xf numFmtId="177" fontId="73" fillId="29" borderId="0" xfId="0" applyNumberFormat="1" applyFont="1" applyFill="1" applyBorder="1" applyAlignment="1">
      <alignment horizontal="center" vertical="center" wrapText="1"/>
    </xf>
    <xf numFmtId="177" fontId="78" fillId="29" borderId="0" xfId="0" applyNumberFormat="1" applyFont="1" applyFill="1" applyBorder="1" applyAlignment="1">
      <alignment horizontal="center" vertical="center" wrapText="1"/>
    </xf>
    <xf numFmtId="170" fontId="78" fillId="29" borderId="15" xfId="0" applyNumberFormat="1" applyFont="1" applyFill="1" applyBorder="1" applyAlignment="1">
      <alignment horizontal="center" vertical="center" wrapText="1"/>
    </xf>
    <xf numFmtId="170" fontId="78" fillId="29" borderId="16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 applyProtection="1">
      <alignment horizontal="left" vertical="center" wrapText="1"/>
    </xf>
    <xf numFmtId="0" fontId="78" fillId="29" borderId="3" xfId="0" applyFont="1" applyFill="1" applyBorder="1" applyAlignment="1">
      <alignment horizontal="left" vertical="center" wrapText="1"/>
    </xf>
    <xf numFmtId="0" fontId="5" fillId="29" borderId="15" xfId="0" applyFont="1" applyFill="1" applyBorder="1" applyAlignment="1" applyProtection="1">
      <alignment horizontal="left" vertical="center" wrapText="1"/>
    </xf>
    <xf numFmtId="0" fontId="5" fillId="29" borderId="17" xfId="0" applyFont="1" applyFill="1" applyBorder="1" applyAlignment="1" applyProtection="1">
      <alignment horizontal="left" vertical="center" wrapText="1"/>
    </xf>
    <xf numFmtId="0" fontId="5" fillId="29" borderId="16" xfId="0" applyFont="1" applyFill="1" applyBorder="1" applyAlignment="1" applyProtection="1">
      <alignment horizontal="left" vertical="center" wrapText="1"/>
    </xf>
    <xf numFmtId="0" fontId="5" fillId="29" borderId="0" xfId="0" applyFont="1" applyFill="1" applyAlignment="1">
      <alignment horizontal="center" vertical="center"/>
    </xf>
    <xf numFmtId="0" fontId="0" fillId="29" borderId="0" xfId="0" applyFill="1" applyAlignment="1">
      <alignment horizontal="center" vertical="center"/>
    </xf>
    <xf numFmtId="177" fontId="78" fillId="29" borderId="15" xfId="0" applyNumberFormat="1" applyFont="1" applyFill="1" applyBorder="1" applyAlignment="1">
      <alignment horizontal="center" vertical="center" wrapText="1"/>
    </xf>
    <xf numFmtId="177" fontId="78" fillId="29" borderId="17" xfId="0" applyNumberFormat="1" applyFont="1" applyFill="1" applyBorder="1" applyAlignment="1">
      <alignment horizontal="center" vertical="center" wrapText="1"/>
    </xf>
    <xf numFmtId="177" fontId="78" fillId="29" borderId="16" xfId="0" applyNumberFormat="1" applyFont="1" applyFill="1" applyBorder="1" applyAlignment="1">
      <alignment horizontal="center" vertical="center" wrapText="1"/>
    </xf>
    <xf numFmtId="178" fontId="78" fillId="29" borderId="15" xfId="207" applyNumberFormat="1" applyFont="1" applyFill="1" applyBorder="1" applyAlignment="1">
      <alignment horizontal="right" vertical="center" wrapText="1"/>
    </xf>
    <xf numFmtId="178" fontId="78" fillId="29" borderId="16" xfId="207" applyNumberFormat="1" applyFont="1" applyFill="1" applyBorder="1" applyAlignment="1">
      <alignment horizontal="right" vertical="center" wrapText="1"/>
    </xf>
    <xf numFmtId="0" fontId="78" fillId="29" borderId="0" xfId="0" applyFont="1" applyFill="1" applyBorder="1" applyAlignment="1">
      <alignment horizontal="justify" vertical="center" wrapText="1" shrinkToFit="1"/>
    </xf>
    <xf numFmtId="4" fontId="78" fillId="29" borderId="15" xfId="0" applyNumberFormat="1" applyFont="1" applyFill="1" applyBorder="1" applyAlignment="1">
      <alignment horizontal="center" vertical="center" wrapText="1"/>
    </xf>
    <xf numFmtId="4" fontId="78" fillId="29" borderId="16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 applyProtection="1">
      <alignment horizontal="center" vertical="center" wrapText="1"/>
    </xf>
    <xf numFmtId="0" fontId="5" fillId="29" borderId="17" xfId="0" applyFont="1" applyFill="1" applyBorder="1" applyAlignment="1" applyProtection="1">
      <alignment horizontal="center" vertical="center" wrapText="1"/>
    </xf>
    <xf numFmtId="0" fontId="5" fillId="29" borderId="16" xfId="0" applyFont="1" applyFill="1" applyBorder="1" applyAlignment="1" applyProtection="1">
      <alignment horizontal="center" vertical="center" wrapText="1"/>
    </xf>
    <xf numFmtId="0" fontId="78" fillId="29" borderId="15" xfId="0" applyFont="1" applyFill="1" applyBorder="1" applyAlignment="1">
      <alignment horizontal="center" vertical="center" wrapText="1"/>
    </xf>
    <xf numFmtId="0" fontId="78" fillId="29" borderId="16" xfId="0" applyFont="1" applyFill="1" applyBorder="1" applyAlignment="1">
      <alignment horizontal="center" vertical="center" wrapText="1"/>
    </xf>
    <xf numFmtId="0" fontId="78" fillId="29" borderId="17" xfId="0" applyFont="1" applyFill="1" applyBorder="1" applyAlignment="1">
      <alignment horizontal="center" vertical="center" wrapText="1"/>
    </xf>
    <xf numFmtId="0" fontId="78" fillId="29" borderId="15" xfId="0" applyFont="1" applyFill="1" applyBorder="1" applyAlignment="1">
      <alignment horizontal="center" vertical="center"/>
    </xf>
    <xf numFmtId="0" fontId="78" fillId="29" borderId="16" xfId="0" applyFont="1" applyFill="1" applyBorder="1" applyAlignment="1">
      <alignment horizontal="center" vertical="center"/>
    </xf>
    <xf numFmtId="4" fontId="73" fillId="29" borderId="15" xfId="0" applyNumberFormat="1" applyFont="1" applyFill="1" applyBorder="1" applyAlignment="1">
      <alignment horizontal="center" vertical="center" wrapText="1"/>
    </xf>
    <xf numFmtId="4" fontId="73" fillId="29" borderId="16" xfId="0" applyNumberFormat="1" applyFont="1" applyFill="1" applyBorder="1" applyAlignment="1">
      <alignment horizontal="center" vertical="center" wrapText="1"/>
    </xf>
    <xf numFmtId="177" fontId="78" fillId="29" borderId="3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/>
    </xf>
    <xf numFmtId="0" fontId="73" fillId="29" borderId="17" xfId="0" applyFont="1" applyFill="1" applyBorder="1" applyAlignment="1">
      <alignment horizontal="left" vertical="center" wrapText="1"/>
    </xf>
    <xf numFmtId="0" fontId="73" fillId="29" borderId="16" xfId="0" applyFont="1" applyFill="1" applyBorder="1" applyAlignment="1">
      <alignment horizontal="left" vertical="center" wrapText="1"/>
    </xf>
    <xf numFmtId="170" fontId="79" fillId="29" borderId="15" xfId="0" applyNumberFormat="1" applyFont="1" applyFill="1" applyBorder="1" applyAlignment="1">
      <alignment horizontal="center" vertical="center" wrapText="1"/>
    </xf>
    <xf numFmtId="170" fontId="79" fillId="29" borderId="16" xfId="0" applyNumberFormat="1" applyFont="1" applyFill="1" applyBorder="1" applyAlignment="1">
      <alignment horizontal="center" vertical="center" wrapText="1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178" fontId="73" fillId="29" borderId="15" xfId="207" applyNumberFormat="1" applyFont="1" applyFill="1" applyBorder="1" applyAlignment="1">
      <alignment horizontal="right" vertical="center" wrapText="1"/>
    </xf>
    <xf numFmtId="178" fontId="73" fillId="29" borderId="16" xfId="207" applyNumberFormat="1" applyFont="1" applyFill="1" applyBorder="1" applyAlignment="1">
      <alignment horizontal="righ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0" fontId="73" fillId="29" borderId="0" xfId="0" applyFont="1" applyFill="1" applyAlignment="1">
      <alignment horizontal="center" vertical="center"/>
    </xf>
    <xf numFmtId="0" fontId="73" fillId="29" borderId="0" xfId="0" applyFont="1" applyFill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86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170" fontId="78" fillId="30" borderId="15" xfId="0" applyNumberFormat="1" applyFont="1" applyFill="1" applyBorder="1" applyAlignment="1">
      <alignment horizontal="center" vertical="center" wrapText="1"/>
    </xf>
    <xf numFmtId="170" fontId="78" fillId="30" borderId="16" xfId="0" applyNumberFormat="1" applyFont="1" applyFill="1" applyBorder="1" applyAlignment="1">
      <alignment horizontal="center" vertical="center" wrapText="1"/>
    </xf>
    <xf numFmtId="170" fontId="78" fillId="29" borderId="15" xfId="0" applyNumberFormat="1" applyFont="1" applyFill="1" applyBorder="1" applyAlignment="1">
      <alignment horizontal="center" vertical="center"/>
    </xf>
    <xf numFmtId="170" fontId="78" fillId="29" borderId="16" xfId="0" applyNumberFormat="1" applyFont="1" applyFill="1" applyBorder="1" applyAlignment="1">
      <alignment horizontal="center" vertical="center"/>
    </xf>
    <xf numFmtId="170" fontId="0" fillId="29" borderId="16" xfId="0" applyNumberFormat="1" applyFill="1" applyBorder="1" applyAlignment="1">
      <alignment horizontal="center" vertical="center"/>
    </xf>
    <xf numFmtId="170" fontId="73" fillId="29" borderId="15" xfId="0" applyNumberFormat="1" applyFont="1" applyFill="1" applyBorder="1" applyAlignment="1">
      <alignment horizontal="center" vertical="center" wrapText="1"/>
    </xf>
    <xf numFmtId="170" fontId="73" fillId="29" borderId="16" xfId="0" applyNumberFormat="1" applyFont="1" applyFill="1" applyBorder="1" applyAlignment="1">
      <alignment horizontal="center" vertical="center" wrapText="1"/>
    </xf>
    <xf numFmtId="0" fontId="73" fillId="29" borderId="3" xfId="0" applyNumberFormat="1" applyFont="1" applyFill="1" applyBorder="1" applyAlignment="1">
      <alignment horizontal="center" vertical="center" wrapText="1"/>
    </xf>
    <xf numFmtId="0" fontId="78" fillId="29" borderId="17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0" fontId="78" fillId="29" borderId="26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/>
    </xf>
    <xf numFmtId="0" fontId="78" fillId="29" borderId="27" xfId="0" applyFont="1" applyFill="1" applyBorder="1" applyAlignment="1">
      <alignment horizontal="center" vertical="center" wrapText="1"/>
    </xf>
    <xf numFmtId="0" fontId="78" fillId="29" borderId="28" xfId="0" applyFont="1" applyFill="1" applyBorder="1" applyAlignment="1">
      <alignment horizontal="center" vertical="center" wrapText="1"/>
    </xf>
    <xf numFmtId="0" fontId="78" fillId="29" borderId="13" xfId="0" applyFont="1" applyFill="1" applyBorder="1" applyAlignment="1">
      <alignment horizontal="center" vertical="center" wrapText="1"/>
    </xf>
    <xf numFmtId="0" fontId="78" fillId="29" borderId="29" xfId="0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/>
    </xf>
    <xf numFmtId="0" fontId="73" fillId="29" borderId="17" xfId="0" applyFont="1" applyFill="1" applyBorder="1" applyAlignment="1">
      <alignment horizontal="left" vertical="center"/>
    </xf>
    <xf numFmtId="0" fontId="73" fillId="29" borderId="16" xfId="0" applyFont="1" applyFill="1" applyBorder="1" applyAlignment="1">
      <alignment horizontal="left" vertical="center"/>
    </xf>
    <xf numFmtId="16" fontId="5" fillId="29" borderId="15" xfId="0" applyNumberFormat="1" applyFont="1" applyFill="1" applyBorder="1" applyAlignment="1" applyProtection="1">
      <alignment horizontal="center" vertical="center" wrapText="1"/>
    </xf>
    <xf numFmtId="0" fontId="0" fillId="29" borderId="17" xfId="0" applyFill="1" applyBorder="1" applyAlignment="1">
      <alignment horizontal="center" vertical="center" wrapText="1"/>
    </xf>
    <xf numFmtId="0" fontId="0" fillId="29" borderId="16" xfId="0" applyFill="1" applyBorder="1" applyAlignment="1">
      <alignment horizontal="center" vertical="center" wrapText="1"/>
    </xf>
    <xf numFmtId="2" fontId="78" fillId="29" borderId="14" xfId="0" applyNumberFormat="1" applyFont="1" applyFill="1" applyBorder="1" applyAlignment="1">
      <alignment horizontal="center" vertical="center" wrapText="1"/>
    </xf>
    <xf numFmtId="2" fontId="78" fillId="29" borderId="19" xfId="0" applyNumberFormat="1" applyFont="1" applyFill="1" applyBorder="1" applyAlignment="1">
      <alignment horizontal="center" vertical="center" wrapText="1"/>
    </xf>
    <xf numFmtId="0" fontId="78" fillId="29" borderId="30" xfId="0" applyFont="1" applyFill="1" applyBorder="1" applyAlignment="1">
      <alignment horizontal="center" vertical="center" wrapText="1"/>
    </xf>
    <xf numFmtId="0" fontId="78" fillId="29" borderId="31" xfId="0" applyFont="1" applyFill="1" applyBorder="1" applyAlignment="1">
      <alignment horizontal="center" vertical="center" wrapText="1"/>
    </xf>
    <xf numFmtId="0" fontId="78" fillId="29" borderId="15" xfId="0" applyFont="1" applyFill="1" applyBorder="1" applyAlignment="1">
      <alignment horizontal="left" vertical="center" wrapText="1"/>
    </xf>
    <xf numFmtId="0" fontId="78" fillId="29" borderId="16" xfId="0" applyFont="1" applyFill="1" applyBorder="1" applyAlignment="1">
      <alignment horizontal="left" vertical="center" wrapText="1"/>
    </xf>
    <xf numFmtId="49" fontId="5" fillId="29" borderId="17" xfId="0" applyNumberFormat="1" applyFont="1" applyFill="1" applyBorder="1" applyAlignment="1">
      <alignment horizontal="left" vertical="center" wrapText="1"/>
    </xf>
    <xf numFmtId="3" fontId="78" fillId="29" borderId="3" xfId="0" applyNumberFormat="1" applyFont="1" applyFill="1" applyBorder="1" applyAlignment="1">
      <alignment horizontal="center" vertical="center" wrapText="1" shrinkToFit="1"/>
    </xf>
    <xf numFmtId="49" fontId="73" fillId="29" borderId="15" xfId="0" applyNumberFormat="1" applyFont="1" applyFill="1" applyBorder="1" applyAlignment="1" applyProtection="1">
      <alignment horizontal="left" vertical="center" wrapText="1"/>
    </xf>
    <xf numFmtId="49" fontId="73" fillId="29" borderId="17" xfId="0" applyNumberFormat="1" applyFont="1" applyFill="1" applyBorder="1" applyAlignment="1" applyProtection="1">
      <alignment horizontal="left" vertical="center" wrapText="1"/>
    </xf>
    <xf numFmtId="49" fontId="73" fillId="29" borderId="16" xfId="0" applyNumberFormat="1" applyFont="1" applyFill="1" applyBorder="1" applyAlignment="1" applyProtection="1">
      <alignment horizontal="left" vertical="center" wrapText="1"/>
    </xf>
    <xf numFmtId="170" fontId="78" fillId="29" borderId="17" xfId="0" applyNumberFormat="1" applyFont="1" applyFill="1" applyBorder="1" applyAlignment="1">
      <alignment horizontal="center" vertical="center"/>
    </xf>
    <xf numFmtId="178" fontId="83" fillId="29" borderId="15" xfId="0" applyNumberFormat="1" applyFont="1" applyFill="1" applyBorder="1" applyAlignment="1">
      <alignment horizontal="center" vertical="center" wrapText="1"/>
    </xf>
    <xf numFmtId="178" fontId="83" fillId="29" borderId="17" xfId="0" applyNumberFormat="1" applyFont="1" applyFill="1" applyBorder="1" applyAlignment="1">
      <alignment horizontal="center" vertical="center" wrapText="1"/>
    </xf>
    <xf numFmtId="178" fontId="83" fillId="29" borderId="16" xfId="0" applyNumberFormat="1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center" vertical="top"/>
    </xf>
    <xf numFmtId="169" fontId="73" fillId="29" borderId="0" xfId="0" applyNumberFormat="1" applyFont="1" applyFill="1" applyBorder="1" applyAlignment="1">
      <alignment horizontal="center"/>
    </xf>
    <xf numFmtId="3" fontId="78" fillId="29" borderId="3" xfId="0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/>
    </xf>
    <xf numFmtId="3" fontId="73" fillId="29" borderId="3" xfId="0" applyNumberFormat="1" applyFont="1" applyFill="1" applyBorder="1" applyAlignment="1">
      <alignment horizontal="left" vertical="center" wrapText="1"/>
    </xf>
    <xf numFmtId="0" fontId="78" fillId="29" borderId="3" xfId="0" applyNumberFormat="1" applyFont="1" applyFill="1" applyBorder="1" applyAlignment="1">
      <alignment horizontal="center" vertical="center" wrapText="1"/>
    </xf>
    <xf numFmtId="49" fontId="87" fillId="29" borderId="15" xfId="0" applyNumberFormat="1" applyFont="1" applyFill="1" applyBorder="1" applyAlignment="1">
      <alignment horizontal="center" vertical="center" wrapText="1"/>
    </xf>
    <xf numFmtId="49" fontId="87" fillId="29" borderId="17" xfId="0" applyNumberFormat="1" applyFont="1" applyFill="1" applyBorder="1" applyAlignment="1">
      <alignment horizontal="center" vertical="center" wrapText="1"/>
    </xf>
    <xf numFmtId="49" fontId="87" fillId="29" borderId="16" xfId="0" applyNumberFormat="1" applyFont="1" applyFill="1" applyBorder="1" applyAlignment="1">
      <alignment horizontal="center" vertical="center" wrapText="1"/>
    </xf>
    <xf numFmtId="170" fontId="78" fillId="29" borderId="17" xfId="0" applyNumberFormat="1" applyFont="1" applyFill="1" applyBorder="1" applyAlignment="1">
      <alignment horizontal="center" vertical="center" wrapText="1"/>
    </xf>
    <xf numFmtId="2" fontId="78" fillId="29" borderId="15" xfId="0" applyNumberFormat="1" applyFont="1" applyFill="1" applyBorder="1" applyAlignment="1">
      <alignment horizontal="center" vertical="center" wrapText="1"/>
    </xf>
    <xf numFmtId="2" fontId="78" fillId="29" borderId="17" xfId="0" applyNumberFormat="1" applyFont="1" applyFill="1" applyBorder="1" applyAlignment="1">
      <alignment horizontal="center" vertical="center" wrapText="1"/>
    </xf>
    <xf numFmtId="2" fontId="78" fillId="29" borderId="16" xfId="0" applyNumberFormat="1" applyFont="1" applyFill="1" applyBorder="1" applyAlignment="1">
      <alignment horizontal="center" vertical="center" wrapText="1"/>
    </xf>
    <xf numFmtId="173" fontId="73" fillId="29" borderId="15" xfId="0" applyNumberFormat="1" applyFont="1" applyFill="1" applyBorder="1" applyAlignment="1">
      <alignment horizontal="center" vertical="center" wrapText="1"/>
    </xf>
    <xf numFmtId="173" fontId="73" fillId="29" borderId="17" xfId="0" applyNumberFormat="1" applyFont="1" applyFill="1" applyBorder="1" applyAlignment="1">
      <alignment horizontal="center" vertical="center" wrapText="1"/>
    </xf>
    <xf numFmtId="173" fontId="73" fillId="29" borderId="16" xfId="0" applyNumberFormat="1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/>
    </xf>
    <xf numFmtId="0" fontId="78" fillId="29" borderId="27" xfId="0" applyFont="1" applyFill="1" applyBorder="1" applyAlignment="1">
      <alignment horizontal="center" vertical="center"/>
    </xf>
    <xf numFmtId="0" fontId="78" fillId="29" borderId="28" xfId="0" applyFont="1" applyFill="1" applyBorder="1" applyAlignment="1">
      <alignment horizontal="center" vertical="center"/>
    </xf>
    <xf numFmtId="0" fontId="78" fillId="29" borderId="29" xfId="0" applyFont="1" applyFill="1" applyBorder="1" applyAlignment="1">
      <alignment horizontal="center" vertical="center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7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0" fontId="78" fillId="29" borderId="26" xfId="0" applyFont="1" applyFill="1" applyBorder="1" applyAlignment="1">
      <alignment horizontal="center" vertical="center" wrapText="1" shrinkToFit="1"/>
    </xf>
    <xf numFmtId="0" fontId="78" fillId="29" borderId="27" xfId="0" applyFont="1" applyFill="1" applyBorder="1" applyAlignment="1">
      <alignment horizontal="center" vertical="center" wrapText="1" shrinkToFit="1"/>
    </xf>
    <xf numFmtId="0" fontId="78" fillId="29" borderId="30" xfId="0" applyFont="1" applyFill="1" applyBorder="1" applyAlignment="1">
      <alignment horizontal="center" vertical="center" wrapText="1" shrinkToFit="1"/>
    </xf>
    <xf numFmtId="0" fontId="78" fillId="29" borderId="31" xfId="0" applyFont="1" applyFill="1" applyBorder="1" applyAlignment="1">
      <alignment horizontal="center" vertical="center" wrapText="1" shrinkToFit="1"/>
    </xf>
    <xf numFmtId="0" fontId="78" fillId="29" borderId="28" xfId="0" applyFont="1" applyFill="1" applyBorder="1" applyAlignment="1">
      <alignment horizontal="center" vertical="center" wrapText="1" shrinkToFit="1"/>
    </xf>
    <xf numFmtId="0" fontId="78" fillId="29" borderId="29" xfId="0" applyFont="1" applyFill="1" applyBorder="1" applyAlignment="1">
      <alignment horizontal="center" vertical="center" wrapText="1" shrinkToFit="1"/>
    </xf>
    <xf numFmtId="0" fontId="78" fillId="29" borderId="15" xfId="0" applyFont="1" applyFill="1" applyBorder="1" applyAlignment="1">
      <alignment horizontal="center" vertical="center" wrapText="1" shrinkToFit="1"/>
    </xf>
    <xf numFmtId="0" fontId="78" fillId="29" borderId="16" xfId="0" applyFont="1" applyFill="1" applyBorder="1" applyAlignment="1">
      <alignment horizontal="center" vertical="center" wrapText="1" shrinkToFit="1"/>
    </xf>
    <xf numFmtId="0" fontId="78" fillId="29" borderId="14" xfId="0" applyFont="1" applyFill="1" applyBorder="1" applyAlignment="1">
      <alignment horizontal="center" vertical="center" wrapText="1" shrinkToFit="1"/>
    </xf>
    <xf numFmtId="0" fontId="78" fillId="29" borderId="19" xfId="0" applyFont="1" applyFill="1" applyBorder="1" applyAlignment="1">
      <alignment horizontal="center" vertical="center" wrapText="1" shrinkToFit="1"/>
    </xf>
    <xf numFmtId="14" fontId="78" fillId="29" borderId="15" xfId="0" applyNumberFormat="1" applyFont="1" applyFill="1" applyBorder="1" applyAlignment="1">
      <alignment horizontal="center" vertical="center" wrapText="1"/>
    </xf>
    <xf numFmtId="0" fontId="78" fillId="29" borderId="17" xfId="0" applyNumberFormat="1" applyFont="1" applyFill="1" applyBorder="1" applyAlignment="1">
      <alignment horizontal="center" vertical="center" wrapText="1"/>
    </xf>
    <xf numFmtId="0" fontId="78" fillId="29" borderId="16" xfId="0" applyNumberFormat="1" applyFont="1" applyFill="1" applyBorder="1" applyAlignment="1">
      <alignment horizontal="center" vertical="center" wrapText="1"/>
    </xf>
    <xf numFmtId="49" fontId="87" fillId="29" borderId="15" xfId="0" applyNumberFormat="1" applyFont="1" applyFill="1" applyBorder="1" applyAlignment="1">
      <alignment horizontal="left" vertical="center" wrapText="1"/>
    </xf>
    <xf numFmtId="49" fontId="87" fillId="29" borderId="16" xfId="0" applyNumberFormat="1" applyFont="1" applyFill="1" applyBorder="1" applyAlignment="1">
      <alignment horizontal="left" vertical="center" wrapText="1"/>
    </xf>
    <xf numFmtId="173" fontId="78" fillId="29" borderId="15" xfId="0" applyNumberFormat="1" applyFont="1" applyFill="1" applyBorder="1" applyAlignment="1">
      <alignment horizontal="center" vertical="center" wrapText="1"/>
    </xf>
    <xf numFmtId="173" fontId="78" fillId="29" borderId="17" xfId="0" applyNumberFormat="1" applyFont="1" applyFill="1" applyBorder="1" applyAlignment="1">
      <alignment horizontal="center" vertical="center" wrapText="1"/>
    </xf>
    <xf numFmtId="173" fontId="78" fillId="29" borderId="16" xfId="0" applyNumberFormat="1" applyFont="1" applyFill="1" applyBorder="1" applyAlignment="1">
      <alignment horizontal="center" vertical="center" wrapText="1"/>
    </xf>
    <xf numFmtId="170" fontId="73" fillId="29" borderId="17" xfId="0" applyNumberFormat="1" applyFont="1" applyFill="1" applyBorder="1" applyAlignment="1">
      <alignment horizontal="center" vertical="center" wrapText="1"/>
    </xf>
    <xf numFmtId="179" fontId="86" fillId="29" borderId="15" xfId="0" applyNumberFormat="1" applyFont="1" applyFill="1" applyBorder="1" applyAlignment="1">
      <alignment horizontal="center" vertical="center" wrapText="1"/>
    </xf>
    <xf numFmtId="179" fontId="86" fillId="29" borderId="17" xfId="0" applyNumberFormat="1" applyFont="1" applyFill="1" applyBorder="1" applyAlignment="1">
      <alignment horizontal="center" vertical="center" wrapText="1"/>
    </xf>
    <xf numFmtId="179" fontId="86" fillId="29" borderId="16" xfId="0" applyNumberFormat="1" applyFont="1" applyFill="1" applyBorder="1" applyAlignment="1">
      <alignment horizontal="center" vertical="center" wrapText="1"/>
    </xf>
    <xf numFmtId="179" fontId="78" fillId="29" borderId="15" xfId="0" applyNumberFormat="1" applyFont="1" applyFill="1" applyBorder="1" applyAlignment="1">
      <alignment horizontal="center" vertical="center" wrapText="1"/>
    </xf>
    <xf numFmtId="179" fontId="78" fillId="29" borderId="17" xfId="0" applyNumberFormat="1" applyFont="1" applyFill="1" applyBorder="1" applyAlignment="1">
      <alignment horizontal="center" vertical="center" wrapText="1"/>
    </xf>
    <xf numFmtId="179" fontId="78" fillId="29" borderId="16" xfId="0" applyNumberFormat="1" applyFont="1" applyFill="1" applyBorder="1" applyAlignment="1">
      <alignment horizontal="center" vertical="center" wrapText="1"/>
    </xf>
    <xf numFmtId="179" fontId="85" fillId="29" borderId="15" xfId="0" applyNumberFormat="1" applyFont="1" applyFill="1" applyBorder="1" applyAlignment="1">
      <alignment horizontal="center" vertical="center" wrapText="1"/>
    </xf>
    <xf numFmtId="179" fontId="85" fillId="29" borderId="17" xfId="0" applyNumberFormat="1" applyFont="1" applyFill="1" applyBorder="1" applyAlignment="1">
      <alignment horizontal="center" vertical="center" wrapText="1"/>
    </xf>
    <xf numFmtId="179" fontId="85" fillId="29" borderId="16" xfId="0" applyNumberFormat="1" applyFont="1" applyFill="1" applyBorder="1" applyAlignment="1">
      <alignment horizontal="center" vertical="center" wrapText="1"/>
    </xf>
    <xf numFmtId="3" fontId="85" fillId="29" borderId="15" xfId="0" applyNumberFormat="1" applyFont="1" applyFill="1" applyBorder="1" applyAlignment="1">
      <alignment horizontal="left" vertical="center" wrapText="1" shrinkToFit="1"/>
    </xf>
    <xf numFmtId="3" fontId="85" fillId="29" borderId="17" xfId="0" applyNumberFormat="1" applyFont="1" applyFill="1" applyBorder="1" applyAlignment="1">
      <alignment horizontal="left" vertical="center" wrapText="1" shrinkToFit="1"/>
    </xf>
    <xf numFmtId="3" fontId="85" fillId="29" borderId="16" xfId="0" applyNumberFormat="1" applyFont="1" applyFill="1" applyBorder="1" applyAlignment="1">
      <alignment horizontal="left" vertical="center" wrapText="1" shrinkToFit="1"/>
    </xf>
    <xf numFmtId="0" fontId="78" fillId="29" borderId="32" xfId="0" applyFont="1" applyFill="1" applyBorder="1" applyAlignment="1">
      <alignment horizontal="center" vertical="center" wrapText="1" shrinkToFit="1"/>
    </xf>
    <xf numFmtId="0" fontId="78" fillId="29" borderId="0" xfId="0" applyFont="1" applyFill="1" applyBorder="1" applyAlignment="1">
      <alignment horizontal="center" vertical="center" wrapText="1"/>
    </xf>
    <xf numFmtId="49" fontId="78" fillId="29" borderId="15" xfId="0" applyNumberFormat="1" applyFont="1" applyFill="1" applyBorder="1" applyAlignment="1">
      <alignment horizontal="left" vertical="center" wrapText="1"/>
    </xf>
    <xf numFmtId="49" fontId="78" fillId="29" borderId="17" xfId="0" applyNumberFormat="1" applyFont="1" applyFill="1" applyBorder="1" applyAlignment="1">
      <alignment horizontal="left" vertical="center" wrapText="1"/>
    </xf>
    <xf numFmtId="49" fontId="78" fillId="29" borderId="16" xfId="0" applyNumberFormat="1" applyFont="1" applyFill="1" applyBorder="1" applyAlignment="1">
      <alignment horizontal="left" vertical="center" wrapText="1"/>
    </xf>
    <xf numFmtId="3" fontId="78" fillId="29" borderId="3" xfId="0" applyNumberFormat="1" applyFont="1" applyFill="1" applyBorder="1" applyAlignment="1">
      <alignment horizontal="center" vertical="center" wrapText="1"/>
    </xf>
    <xf numFmtId="3" fontId="78" fillId="29" borderId="15" xfId="0" applyNumberFormat="1" applyFont="1" applyFill="1" applyBorder="1" applyAlignment="1">
      <alignment horizontal="center" vertical="center" wrapText="1" shrinkToFit="1"/>
    </xf>
    <xf numFmtId="3" fontId="78" fillId="29" borderId="16" xfId="0" applyNumberFormat="1" applyFont="1" applyFill="1" applyBorder="1" applyAlignment="1">
      <alignment horizontal="center" vertical="center" wrapText="1" shrinkToFit="1"/>
    </xf>
    <xf numFmtId="49" fontId="78" fillId="29" borderId="15" xfId="0" applyNumberFormat="1" applyFont="1" applyFill="1" applyBorder="1" applyAlignment="1">
      <alignment horizontal="center" vertical="center" wrapText="1"/>
    </xf>
    <xf numFmtId="49" fontId="78" fillId="29" borderId="16" xfId="0" applyNumberFormat="1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 shrinkToFit="1"/>
    </xf>
    <xf numFmtId="0" fontId="78" fillId="29" borderId="0" xfId="0" applyFont="1" applyFill="1" applyBorder="1" applyAlignment="1">
      <alignment horizontal="center" vertical="center" wrapText="1" shrinkToFit="1"/>
    </xf>
    <xf numFmtId="0" fontId="78" fillId="29" borderId="13" xfId="0" applyFont="1" applyFill="1" applyBorder="1" applyAlignment="1">
      <alignment horizontal="center" vertical="center" wrapText="1" shrinkToFit="1"/>
    </xf>
    <xf numFmtId="178" fontId="82" fillId="29" borderId="15" xfId="0" applyNumberFormat="1" applyFont="1" applyFill="1" applyBorder="1" applyAlignment="1">
      <alignment horizontal="center" vertical="center" wrapText="1"/>
    </xf>
    <xf numFmtId="178" fontId="82" fillId="29" borderId="17" xfId="0" applyNumberFormat="1" applyFont="1" applyFill="1" applyBorder="1" applyAlignment="1">
      <alignment horizontal="center" vertical="center" wrapText="1"/>
    </xf>
    <xf numFmtId="178" fontId="82" fillId="29" borderId="16" xfId="0" applyNumberFormat="1" applyFont="1" applyFill="1" applyBorder="1" applyAlignment="1">
      <alignment horizontal="center" vertical="center" wrapText="1"/>
    </xf>
    <xf numFmtId="0" fontId="78" fillId="29" borderId="15" xfId="0" applyNumberFormat="1" applyFont="1" applyFill="1" applyBorder="1" applyAlignment="1">
      <alignment horizontal="left" vertical="center" wrapText="1"/>
    </xf>
    <xf numFmtId="0" fontId="78" fillId="29" borderId="16" xfId="0" applyNumberFormat="1" applyFont="1" applyFill="1" applyBorder="1" applyAlignment="1">
      <alignment horizontal="left" vertical="center" wrapText="1"/>
    </xf>
    <xf numFmtId="0" fontId="78" fillId="29" borderId="15" xfId="0" applyNumberFormat="1" applyFont="1" applyFill="1" applyBorder="1" applyAlignment="1">
      <alignment horizontal="left" vertical="center" wrapText="1" shrinkToFit="1"/>
    </xf>
    <xf numFmtId="0" fontId="78" fillId="29" borderId="17" xfId="0" applyNumberFormat="1" applyFont="1" applyFill="1" applyBorder="1" applyAlignment="1">
      <alignment horizontal="left" vertical="center" wrapText="1" shrinkToFit="1"/>
    </xf>
    <xf numFmtId="0" fontId="78" fillId="29" borderId="16" xfId="0" applyNumberFormat="1" applyFont="1" applyFill="1" applyBorder="1" applyAlignment="1">
      <alignment horizontal="left" vertical="center" wrapText="1" shrinkToFit="1"/>
    </xf>
    <xf numFmtId="49" fontId="78" fillId="29" borderId="15" xfId="0" applyNumberFormat="1" applyFont="1" applyFill="1" applyBorder="1" applyAlignment="1" applyProtection="1">
      <alignment horizontal="left" vertical="center" wrapText="1"/>
    </xf>
    <xf numFmtId="49" fontId="78" fillId="29" borderId="17" xfId="0" applyNumberFormat="1" applyFont="1" applyFill="1" applyBorder="1" applyAlignment="1" applyProtection="1">
      <alignment horizontal="left" vertical="center" wrapText="1"/>
    </xf>
    <xf numFmtId="49" fontId="78" fillId="29" borderId="16" xfId="0" applyNumberFormat="1" applyFont="1" applyFill="1" applyBorder="1" applyAlignment="1" applyProtection="1">
      <alignment horizontal="left" vertical="center" wrapText="1"/>
    </xf>
    <xf numFmtId="0" fontId="70" fillId="29" borderId="0" xfId="0" applyFont="1" applyFill="1" applyAlignment="1">
      <alignment vertical="center" wrapText="1"/>
    </xf>
    <xf numFmtId="0" fontId="73" fillId="29" borderId="15" xfId="0" applyNumberFormat="1" applyFont="1" applyFill="1" applyBorder="1" applyAlignment="1">
      <alignment horizontal="left" vertical="center" wrapText="1" shrinkToFit="1"/>
    </xf>
    <xf numFmtId="0" fontId="73" fillId="29" borderId="17" xfId="0" applyNumberFormat="1" applyFont="1" applyFill="1" applyBorder="1" applyAlignment="1">
      <alignment horizontal="left" vertical="center" wrapText="1" shrinkToFit="1"/>
    </xf>
    <xf numFmtId="0" fontId="73" fillId="29" borderId="16" xfId="0" applyNumberFormat="1" applyFont="1" applyFill="1" applyBorder="1" applyAlignment="1">
      <alignment horizontal="left" vertical="center" wrapText="1" shrinkToFit="1"/>
    </xf>
    <xf numFmtId="49" fontId="78" fillId="29" borderId="15" xfId="0" applyNumberFormat="1" applyFont="1" applyFill="1" applyBorder="1" applyAlignment="1">
      <alignment horizontal="left" vertical="center" wrapText="1" shrinkToFit="1"/>
    </xf>
    <xf numFmtId="49" fontId="78" fillId="29" borderId="17" xfId="0" applyNumberFormat="1" applyFont="1" applyFill="1" applyBorder="1" applyAlignment="1">
      <alignment horizontal="left" vertical="center" wrapText="1" shrinkToFit="1"/>
    </xf>
    <xf numFmtId="49" fontId="78" fillId="29" borderId="16" xfId="0" applyNumberFormat="1" applyFont="1" applyFill="1" applyBorder="1" applyAlignment="1">
      <alignment horizontal="left" vertical="center" wrapText="1" shrinkToFit="1"/>
    </xf>
    <xf numFmtId="0" fontId="78" fillId="29" borderId="0" xfId="0" applyFont="1" applyFill="1" applyAlignment="1">
      <alignment horizontal="right" vertical="center"/>
    </xf>
    <xf numFmtId="0" fontId="73" fillId="29" borderId="15" xfId="0" applyFont="1" applyFill="1" applyBorder="1" applyAlignment="1">
      <alignment horizontal="left"/>
    </xf>
    <xf numFmtId="0" fontId="73" fillId="29" borderId="17" xfId="0" applyFont="1" applyFill="1" applyBorder="1" applyAlignment="1">
      <alignment horizontal="left"/>
    </xf>
    <xf numFmtId="0" fontId="73" fillId="29" borderId="16" xfId="0" applyFont="1" applyFill="1" applyBorder="1" applyAlignment="1">
      <alignment horizontal="left"/>
    </xf>
    <xf numFmtId="0" fontId="73" fillId="29" borderId="15" xfId="0" applyFont="1" applyFill="1" applyBorder="1" applyAlignment="1">
      <alignment horizontal="center" vertical="center"/>
    </xf>
    <xf numFmtId="0" fontId="90" fillId="29" borderId="17" xfId="0" applyFont="1" applyFill="1" applyBorder="1" applyAlignment="1">
      <alignment horizontal="center" vertical="center"/>
    </xf>
    <xf numFmtId="0" fontId="90" fillId="29" borderId="16" xfId="0" applyFont="1" applyFill="1" applyBorder="1" applyAlignment="1">
      <alignment horizontal="center" vertical="center"/>
    </xf>
    <xf numFmtId="0" fontId="73" fillId="29" borderId="15" xfId="0" applyFont="1" applyFill="1" applyBorder="1" applyAlignment="1">
      <alignment horizontal="center" vertical="center" wrapText="1"/>
    </xf>
    <xf numFmtId="0" fontId="9" fillId="29" borderId="0" xfId="0" applyFont="1" applyFill="1" applyBorder="1" applyAlignment="1">
      <alignment horizontal="center" vertical="top"/>
    </xf>
    <xf numFmtId="0" fontId="5" fillId="29" borderId="0" xfId="0" applyFont="1" applyFill="1" applyBorder="1" applyAlignment="1">
      <alignment horizontal="center"/>
    </xf>
    <xf numFmtId="0" fontId="9" fillId="29" borderId="0" xfId="0" applyFont="1" applyFill="1" applyAlignment="1">
      <alignment horizontal="center" vertical="top"/>
    </xf>
    <xf numFmtId="0" fontId="5" fillId="29" borderId="0" xfId="0" applyFont="1" applyFill="1" applyBorder="1" applyAlignment="1">
      <alignment horizontal="center" wrapText="1"/>
    </xf>
    <xf numFmtId="170" fontId="5" fillId="29" borderId="0" xfId="0" applyNumberFormat="1" applyFont="1" applyFill="1" applyBorder="1" applyAlignment="1">
      <alignment horizontal="center" wrapText="1"/>
    </xf>
    <xf numFmtId="0" fontId="73" fillId="29" borderId="0" xfId="0" applyFont="1" applyFill="1" applyAlignment="1">
      <alignment horizontal="right" vertical="center"/>
    </xf>
    <xf numFmtId="0" fontId="5" fillId="29" borderId="13" xfId="0" applyFont="1" applyFill="1" applyBorder="1" applyAlignment="1">
      <alignment horizontal="right"/>
    </xf>
    <xf numFmtId="0" fontId="5" fillId="29" borderId="14" xfId="0" applyFont="1" applyFill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/>
    </xf>
  </cellXfs>
  <cellStyles count="35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Звичайний 2 3" xfId="354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1;%20&#1092;&#1110;&#1085;&#1087;&#1083;&#1072;&#1085;/2021/&#1047;&#1074;&#1110;&#1090;%20&#1087;&#1086;%20&#1092;&#1110;&#1085;.&#1087;&#1083;&#1072;&#1085;&#1091;%20%202021&#1088;&#1110;&#1082;%20&#1030;&#1088;&#1072;%20&#1041;&#1077;&#1074;&#10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фінрезультати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до капівидатків"/>
      <sheetName val="6.1. Інша інфо_1"/>
      <sheetName val="VII Статутн. капіт"/>
      <sheetName val="Розшифровка до Статутного"/>
    </sheetNames>
    <sheetDataSet>
      <sheetData sheetId="0" refreshError="1"/>
      <sheetData sheetId="1" refreshError="1"/>
      <sheetData sheetId="2">
        <row r="31">
          <cell r="E31">
            <v>1603.1</v>
          </cell>
        </row>
      </sheetData>
      <sheetData sheetId="3" refreshError="1"/>
      <sheetData sheetId="4" refreshError="1"/>
      <sheetData sheetId="5">
        <row r="22">
          <cell r="F22">
            <v>6913.4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H455"/>
  <sheetViews>
    <sheetView topLeftCell="A31" zoomScale="50" zoomScaleNormal="50" zoomScaleSheetLayoutView="50" workbookViewId="0">
      <selection activeCell="C130" sqref="C130:D130"/>
    </sheetView>
  </sheetViews>
  <sheetFormatPr defaultColWidth="9.109375" defaultRowHeight="18"/>
  <cols>
    <col min="1" max="1" width="95" style="170" customWidth="1"/>
    <col min="2" max="2" width="17.109375" style="171" customWidth="1"/>
    <col min="3" max="6" width="30.6640625" style="171" customWidth="1"/>
    <col min="7" max="7" width="25.6640625" style="171" customWidth="1"/>
    <col min="8" max="8" width="21.6640625" style="171" customWidth="1"/>
    <col min="9" max="9" width="10" style="170" customWidth="1"/>
    <col min="10" max="10" width="9.5546875" style="170" customWidth="1"/>
    <col min="11" max="16384" width="9.109375" style="170"/>
  </cols>
  <sheetData>
    <row r="1" spans="1:8" ht="29.25" customHeight="1">
      <c r="A1" s="174"/>
      <c r="B1" s="442"/>
      <c r="C1" s="442"/>
      <c r="D1" s="442"/>
      <c r="E1" s="442"/>
      <c r="G1" s="219">
        <v>2021</v>
      </c>
      <c r="H1" s="220" t="s">
        <v>98</v>
      </c>
    </row>
    <row r="2" spans="1:8" ht="29.25" customHeight="1">
      <c r="A2" s="174" t="s">
        <v>14</v>
      </c>
      <c r="B2" s="443" t="s">
        <v>617</v>
      </c>
      <c r="C2" s="443"/>
      <c r="D2" s="443"/>
      <c r="E2" s="443"/>
      <c r="F2" s="443"/>
      <c r="G2" s="357">
        <v>3327925</v>
      </c>
      <c r="H2" s="220" t="s">
        <v>95</v>
      </c>
    </row>
    <row r="3" spans="1:8" ht="29.25" customHeight="1">
      <c r="A3" s="174" t="s">
        <v>15</v>
      </c>
      <c r="B3" s="443" t="s">
        <v>816</v>
      </c>
      <c r="C3" s="443"/>
      <c r="D3" s="443"/>
      <c r="E3" s="443"/>
      <c r="F3" s="443"/>
      <c r="G3" s="357">
        <v>150</v>
      </c>
      <c r="H3" s="220" t="s">
        <v>94</v>
      </c>
    </row>
    <row r="4" spans="1:8" ht="29.25" customHeight="1">
      <c r="A4" s="174" t="s">
        <v>20</v>
      </c>
      <c r="B4" s="443" t="s">
        <v>817</v>
      </c>
      <c r="C4" s="443"/>
      <c r="D4" s="443"/>
      <c r="E4" s="443"/>
      <c r="F4" s="443"/>
      <c r="G4" s="359" t="s">
        <v>824</v>
      </c>
      <c r="H4" s="220" t="s">
        <v>93</v>
      </c>
    </row>
    <row r="5" spans="1:8" ht="29.25" customHeight="1">
      <c r="A5" s="174" t="s">
        <v>408</v>
      </c>
      <c r="B5" s="443" t="s">
        <v>818</v>
      </c>
      <c r="C5" s="443"/>
      <c r="D5" s="443"/>
      <c r="E5" s="443"/>
      <c r="F5" s="443"/>
      <c r="G5" s="219"/>
      <c r="H5" s="220" t="s">
        <v>9</v>
      </c>
    </row>
    <row r="6" spans="1:8" ht="29.25" customHeight="1">
      <c r="A6" s="174" t="s">
        <v>17</v>
      </c>
      <c r="B6" s="442" t="s">
        <v>819</v>
      </c>
      <c r="C6" s="442"/>
      <c r="D6" s="442"/>
      <c r="E6" s="442"/>
      <c r="F6" s="442"/>
      <c r="G6" s="219"/>
      <c r="H6" s="220" t="s">
        <v>8</v>
      </c>
    </row>
    <row r="7" spans="1:8" ht="29.25" customHeight="1">
      <c r="A7" s="174" t="s">
        <v>16</v>
      </c>
      <c r="B7" s="442" t="s">
        <v>819</v>
      </c>
      <c r="C7" s="442"/>
      <c r="D7" s="442"/>
      <c r="E7" s="183"/>
      <c r="F7" s="183"/>
      <c r="G7" s="358" t="s">
        <v>825</v>
      </c>
      <c r="H7" s="220" t="s">
        <v>10</v>
      </c>
    </row>
    <row r="8" spans="1:8" ht="29.25" customHeight="1">
      <c r="A8" s="174" t="s">
        <v>411</v>
      </c>
      <c r="B8" s="183" t="s">
        <v>794</v>
      </c>
      <c r="C8" s="183"/>
      <c r="D8" s="183"/>
      <c r="E8" s="183"/>
      <c r="F8" s="183"/>
      <c r="G8" s="360" t="s">
        <v>826</v>
      </c>
      <c r="H8" s="221"/>
    </row>
    <row r="9" spans="1:8" ht="29.25" customHeight="1">
      <c r="A9" s="174" t="s">
        <v>21</v>
      </c>
      <c r="B9" s="443" t="s">
        <v>820</v>
      </c>
      <c r="C9" s="443"/>
      <c r="D9" s="361"/>
      <c r="E9" s="361"/>
      <c r="F9" s="361"/>
      <c r="G9" s="360" t="s">
        <v>827</v>
      </c>
      <c r="H9" s="219"/>
    </row>
    <row r="10" spans="1:8" ht="29.25" customHeight="1">
      <c r="A10" s="174" t="s">
        <v>80</v>
      </c>
      <c r="B10" s="442"/>
      <c r="C10" s="442"/>
      <c r="D10" s="442"/>
      <c r="E10" s="442"/>
      <c r="F10" s="218"/>
      <c r="G10" s="222"/>
      <c r="H10" s="220"/>
    </row>
    <row r="11" spans="1:8" ht="29.25" customHeight="1">
      <c r="A11" s="174" t="s">
        <v>11</v>
      </c>
      <c r="B11" s="443" t="s">
        <v>821</v>
      </c>
      <c r="C11" s="443"/>
      <c r="D11" s="443"/>
      <c r="E11" s="443"/>
      <c r="F11" s="443"/>
      <c r="G11" s="222"/>
      <c r="H11" s="220"/>
    </row>
    <row r="12" spans="1:8" ht="29.25" customHeight="1">
      <c r="A12" s="174" t="s">
        <v>12</v>
      </c>
      <c r="B12" s="443" t="s">
        <v>822</v>
      </c>
      <c r="C12" s="443"/>
      <c r="D12" s="443"/>
      <c r="E12" s="443"/>
      <c r="F12" s="443"/>
      <c r="G12" s="222"/>
      <c r="H12" s="220"/>
    </row>
    <row r="13" spans="1:8" ht="29.25" customHeight="1">
      <c r="A13" s="174" t="s">
        <v>13</v>
      </c>
      <c r="B13" s="442" t="s">
        <v>823</v>
      </c>
      <c r="C13" s="442"/>
      <c r="D13" s="442"/>
      <c r="E13" s="442"/>
      <c r="F13" s="442"/>
      <c r="G13" s="222"/>
      <c r="H13" s="220"/>
    </row>
    <row r="14" spans="1:8" ht="19.5" customHeight="1">
      <c r="A14" s="322"/>
      <c r="B14" s="170"/>
      <c r="C14" s="170"/>
      <c r="D14" s="170"/>
      <c r="E14" s="170"/>
      <c r="F14" s="170"/>
      <c r="G14" s="170"/>
      <c r="H14" s="170"/>
    </row>
    <row r="15" spans="1:8" ht="30.75" customHeight="1">
      <c r="A15" s="452" t="s">
        <v>136</v>
      </c>
      <c r="B15" s="452"/>
      <c r="C15" s="452"/>
      <c r="D15" s="452"/>
      <c r="E15" s="452"/>
      <c r="F15" s="452"/>
      <c r="G15" s="452"/>
      <c r="H15" s="452"/>
    </row>
    <row r="16" spans="1:8" ht="38.25" customHeight="1">
      <c r="A16" s="452" t="s">
        <v>452</v>
      </c>
      <c r="B16" s="452"/>
      <c r="C16" s="452"/>
      <c r="D16" s="452"/>
      <c r="E16" s="452"/>
      <c r="F16" s="452"/>
      <c r="G16" s="452"/>
      <c r="H16" s="452"/>
    </row>
    <row r="17" spans="1:8" ht="20.399999999999999">
      <c r="A17" s="452" t="s">
        <v>424</v>
      </c>
      <c r="B17" s="452"/>
      <c r="C17" s="452"/>
      <c r="D17" s="452"/>
      <c r="E17" s="452"/>
      <c r="F17" s="452"/>
      <c r="G17" s="452"/>
      <c r="H17" s="452"/>
    </row>
    <row r="18" spans="1:8" ht="23.25" customHeight="1">
      <c r="A18" s="429"/>
      <c r="B18" s="429"/>
      <c r="C18" s="429"/>
      <c r="D18" s="429"/>
      <c r="E18" s="429"/>
      <c r="F18" s="429"/>
      <c r="G18" s="429"/>
      <c r="H18" s="429"/>
    </row>
    <row r="19" spans="1:8" ht="31.5" customHeight="1">
      <c r="A19" s="430" t="s">
        <v>122</v>
      </c>
      <c r="B19" s="430"/>
      <c r="C19" s="430"/>
      <c r="D19" s="430"/>
      <c r="E19" s="430"/>
      <c r="F19" s="430"/>
      <c r="G19" s="430"/>
      <c r="H19" s="430"/>
    </row>
    <row r="20" spans="1:8" ht="29.25" customHeight="1">
      <c r="B20" s="175"/>
      <c r="C20" s="175"/>
      <c r="D20" s="175"/>
      <c r="E20" s="175"/>
      <c r="F20" s="175"/>
      <c r="G20" s="175"/>
      <c r="H20" s="348" t="s">
        <v>350</v>
      </c>
    </row>
    <row r="21" spans="1:8" ht="43.5" customHeight="1">
      <c r="A21" s="440" t="s">
        <v>153</v>
      </c>
      <c r="B21" s="441" t="s">
        <v>18</v>
      </c>
      <c r="C21" s="441" t="s">
        <v>135</v>
      </c>
      <c r="D21" s="441"/>
      <c r="E21" s="453" t="s">
        <v>427</v>
      </c>
      <c r="F21" s="453"/>
      <c r="G21" s="453"/>
      <c r="H21" s="453"/>
    </row>
    <row r="22" spans="1:8" ht="51" customHeight="1">
      <c r="A22" s="440"/>
      <c r="B22" s="441"/>
      <c r="C22" s="323" t="s">
        <v>425</v>
      </c>
      <c r="D22" s="323" t="s">
        <v>426</v>
      </c>
      <c r="E22" s="168" t="s">
        <v>144</v>
      </c>
      <c r="F22" s="168" t="s">
        <v>140</v>
      </c>
      <c r="G22" s="168" t="s">
        <v>150</v>
      </c>
      <c r="H22" s="168" t="s">
        <v>151</v>
      </c>
    </row>
    <row r="23" spans="1:8" ht="28.5" customHeight="1" thickBot="1">
      <c r="A23" s="325">
        <v>1</v>
      </c>
      <c r="B23" s="323">
        <v>2</v>
      </c>
      <c r="C23" s="325">
        <v>3</v>
      </c>
      <c r="D23" s="323">
        <v>4</v>
      </c>
      <c r="E23" s="325">
        <v>5</v>
      </c>
      <c r="F23" s="323">
        <v>6</v>
      </c>
      <c r="G23" s="325">
        <v>7</v>
      </c>
      <c r="H23" s="323">
        <v>8</v>
      </c>
    </row>
    <row r="24" spans="1:8" s="28" customFormat="1" ht="33" customHeight="1" thickBot="1">
      <c r="A24" s="449" t="s">
        <v>74</v>
      </c>
      <c r="B24" s="450"/>
      <c r="C24" s="450"/>
      <c r="D24" s="450"/>
      <c r="E24" s="450"/>
      <c r="F24" s="450"/>
      <c r="G24" s="450"/>
      <c r="H24" s="451"/>
    </row>
    <row r="25" spans="1:8" s="28" customFormat="1" ht="30.75" customHeight="1">
      <c r="A25" s="176" t="s">
        <v>123</v>
      </c>
      <c r="B25" s="177">
        <v>1000</v>
      </c>
      <c r="C25" s="143">
        <f>'I. Фін результат'!C8</f>
        <v>128341</v>
      </c>
      <c r="D25" s="143">
        <f>'I. Фін результат'!D8</f>
        <v>186753</v>
      </c>
      <c r="E25" s="143">
        <f>'I. Фін результат'!E8</f>
        <v>269612.5</v>
      </c>
      <c r="F25" s="143">
        <f>'I. Фін результат'!F8</f>
        <v>186753</v>
      </c>
      <c r="G25" s="143">
        <f>F25-E25</f>
        <v>-82859.5</v>
      </c>
      <c r="H25" s="141">
        <f>(F25/E25)*100</f>
        <v>69.267189021280544</v>
      </c>
    </row>
    <row r="26" spans="1:8" s="28" customFormat="1" ht="30.75" customHeight="1">
      <c r="A26" s="176" t="s">
        <v>110</v>
      </c>
      <c r="B26" s="177">
        <v>1010</v>
      </c>
      <c r="C26" s="143">
        <f>'I. Фін результат'!C9</f>
        <v>-465763</v>
      </c>
      <c r="D26" s="143">
        <f>'I. Фін результат'!D9</f>
        <v>-562737.99999999988</v>
      </c>
      <c r="E26" s="143">
        <f>'I. Фін результат'!E9</f>
        <v>-784882</v>
      </c>
      <c r="F26" s="143">
        <f>'I. Фін результат'!F9</f>
        <v>-562737.99999999988</v>
      </c>
      <c r="G26" s="143">
        <f>F26-E26</f>
        <v>222144.00000000012</v>
      </c>
      <c r="H26" s="141">
        <f t="shared" ref="H26:H58" si="0">(F26/E26)*100</f>
        <v>71.697146832262675</v>
      </c>
    </row>
    <row r="27" spans="1:8" s="28" customFormat="1" ht="29.25" customHeight="1">
      <c r="A27" s="101" t="s">
        <v>145</v>
      </c>
      <c r="B27" s="102">
        <v>1020</v>
      </c>
      <c r="C27" s="127">
        <f>SUM(C25:C26)</f>
        <v>-337422</v>
      </c>
      <c r="D27" s="127">
        <f t="shared" ref="D27:F27" si="1">SUM(D25:D26)</f>
        <v>-375984.99999999988</v>
      </c>
      <c r="E27" s="127">
        <f t="shared" si="1"/>
        <v>-515269.5</v>
      </c>
      <c r="F27" s="127">
        <f t="shared" si="1"/>
        <v>-375984.99999999988</v>
      </c>
      <c r="G27" s="127">
        <f t="shared" ref="G27:G58" si="2">F27-E27</f>
        <v>139284.50000000012</v>
      </c>
      <c r="H27" s="142">
        <f t="shared" si="0"/>
        <v>72.96861157122629</v>
      </c>
    </row>
    <row r="28" spans="1:8" s="28" customFormat="1" ht="30.75" customHeight="1">
      <c r="A28" s="176" t="s">
        <v>351</v>
      </c>
      <c r="B28" s="177">
        <v>1030</v>
      </c>
      <c r="C28" s="143">
        <f>'I. Фін результат'!C19</f>
        <v>-26452</v>
      </c>
      <c r="D28" s="143">
        <f>'I. Фін результат'!D19</f>
        <v>-32440.999999999996</v>
      </c>
      <c r="E28" s="143">
        <f>'I. Фін результат'!E19</f>
        <v>-36084</v>
      </c>
      <c r="F28" s="143">
        <f>'I. Фін результат'!F19</f>
        <v>-32440.999999999996</v>
      </c>
      <c r="G28" s="143">
        <f t="shared" si="2"/>
        <v>3643.0000000000036</v>
      </c>
      <c r="H28" s="141">
        <f t="shared" si="0"/>
        <v>89.904112626094658</v>
      </c>
    </row>
    <row r="29" spans="1:8" s="28" customFormat="1" ht="30.75" customHeight="1">
      <c r="A29" s="176" t="s">
        <v>99</v>
      </c>
      <c r="B29" s="177">
        <v>1060</v>
      </c>
      <c r="C29" s="143">
        <f>'I. Фін результат'!C40</f>
        <v>-16579</v>
      </c>
      <c r="D29" s="143">
        <f>'I. Фін результат'!D40</f>
        <v>-33105</v>
      </c>
      <c r="E29" s="143">
        <f>'I. Фін результат'!E40</f>
        <v>-37268.800000000003</v>
      </c>
      <c r="F29" s="143">
        <f>'I. Фін результат'!F40</f>
        <v>-33105</v>
      </c>
      <c r="G29" s="143">
        <f t="shared" si="2"/>
        <v>4163.8000000000029</v>
      </c>
      <c r="H29" s="141">
        <f t="shared" si="0"/>
        <v>88.827652084317165</v>
      </c>
    </row>
    <row r="30" spans="1:8" s="28" customFormat="1" ht="30.75" customHeight="1">
      <c r="A30" s="176" t="s">
        <v>352</v>
      </c>
      <c r="B30" s="177">
        <v>1070</v>
      </c>
      <c r="C30" s="143">
        <f>'I. Фін результат'!C48</f>
        <v>405888</v>
      </c>
      <c r="D30" s="143">
        <f>'I. Фін результат'!D48</f>
        <v>430278</v>
      </c>
      <c r="E30" s="143">
        <f>'I. Фін результат'!E48</f>
        <v>593927</v>
      </c>
      <c r="F30" s="143">
        <f>'I. Фін результат'!F48</f>
        <v>430278</v>
      </c>
      <c r="G30" s="143">
        <f t="shared" si="2"/>
        <v>-163649</v>
      </c>
      <c r="H30" s="141">
        <f t="shared" si="0"/>
        <v>72.446277067720445</v>
      </c>
    </row>
    <row r="31" spans="1:8" s="28" customFormat="1" ht="30.75" customHeight="1">
      <c r="A31" s="176" t="s">
        <v>27</v>
      </c>
      <c r="B31" s="177">
        <v>1080</v>
      </c>
      <c r="C31" s="143">
        <f>'I. Фін результат'!C52</f>
        <v>-46390.000000000007</v>
      </c>
      <c r="D31" s="143">
        <f>'I. Фін результат'!D52</f>
        <v>-6921.0000000000009</v>
      </c>
      <c r="E31" s="143">
        <f>'I. Фін результат'!E52</f>
        <v>-7065.7</v>
      </c>
      <c r="F31" s="143">
        <f>'I. Фін результат'!F52</f>
        <v>-6921.0000000000009</v>
      </c>
      <c r="G31" s="143">
        <f t="shared" si="2"/>
        <v>144.69999999999891</v>
      </c>
      <c r="H31" s="141">
        <f t="shared" si="0"/>
        <v>97.952078350340386</v>
      </c>
    </row>
    <row r="32" spans="1:8" s="28" customFormat="1" ht="29.25" customHeight="1">
      <c r="A32" s="101" t="s">
        <v>4</v>
      </c>
      <c r="B32" s="102">
        <v>1100</v>
      </c>
      <c r="C32" s="127">
        <f>SUM(C27,C28,C29,C30,C31)</f>
        <v>-20955.000000000007</v>
      </c>
      <c r="D32" s="127">
        <f t="shared" ref="D32:F32" si="3">SUM(D27,D28,D29,D30,D31)</f>
        <v>-18173.999999999884</v>
      </c>
      <c r="E32" s="127">
        <f>ROUNDUP(SUM(E27,E28,E29,E30,E31),0)</f>
        <v>-1762</v>
      </c>
      <c r="F32" s="127">
        <f t="shared" si="3"/>
        <v>-18173.999999999884</v>
      </c>
      <c r="G32" s="127">
        <f t="shared" si="2"/>
        <v>-16411.999999999884</v>
      </c>
      <c r="H32" s="142">
        <f t="shared" si="0"/>
        <v>1031.4415437003338</v>
      </c>
    </row>
    <row r="33" spans="1:8" s="28" customFormat="1" ht="26.25" customHeight="1">
      <c r="A33" s="105" t="s">
        <v>100</v>
      </c>
      <c r="B33" s="102">
        <v>1310</v>
      </c>
      <c r="C33" s="127">
        <f>'I. Фін результат'!C88</f>
        <v>4309.9999999999927</v>
      </c>
      <c r="D33" s="127">
        <f>'I. Фін результат'!D88</f>
        <v>10828.000000000116</v>
      </c>
      <c r="E33" s="127">
        <f>'I. Фін результат'!E88</f>
        <v>23301</v>
      </c>
      <c r="F33" s="127">
        <f>'I. Фін результат'!F88</f>
        <v>10828.000000000116</v>
      </c>
      <c r="G33" s="51">
        <f t="shared" si="2"/>
        <v>-12472.999999999884</v>
      </c>
      <c r="H33" s="142">
        <f t="shared" si="0"/>
        <v>46.470108579031447</v>
      </c>
    </row>
    <row r="34" spans="1:8" s="28" customFormat="1" ht="29.25" customHeight="1">
      <c r="A34" s="101" t="s">
        <v>132</v>
      </c>
      <c r="B34" s="102">
        <v>5010</v>
      </c>
      <c r="C34" s="407">
        <f>(C33/C25)*100</f>
        <v>3.3582409362557506</v>
      </c>
      <c r="D34" s="407">
        <f>(D33/D25)*100</f>
        <v>5.7980326955926369</v>
      </c>
      <c r="E34" s="407">
        <f>(E33/E25)*100</f>
        <v>8.6424034493949655</v>
      </c>
      <c r="F34" s="407">
        <f>(F33/F25)*100</f>
        <v>5.7980326955926369</v>
      </c>
      <c r="G34" s="408">
        <f t="shared" si="2"/>
        <v>-2.8443707538023286</v>
      </c>
      <c r="H34" s="409">
        <f t="shared" si="0"/>
        <v>67.08819750828161</v>
      </c>
    </row>
    <row r="35" spans="1:8" s="28" customFormat="1" ht="30.75" customHeight="1">
      <c r="A35" s="176" t="s">
        <v>187</v>
      </c>
      <c r="B35" s="177">
        <v>1110</v>
      </c>
      <c r="C35" s="140">
        <f>'I. Фін результат'!C60</f>
        <v>0</v>
      </c>
      <c r="D35" s="140">
        <f>'I. Фін результат'!D60</f>
        <v>0</v>
      </c>
      <c r="E35" s="140">
        <f>'I. Фін результат'!E60</f>
        <v>0</v>
      </c>
      <c r="F35" s="140">
        <f>'I. Фін результат'!F60</f>
        <v>0</v>
      </c>
      <c r="G35" s="140">
        <f t="shared" si="2"/>
        <v>0</v>
      </c>
      <c r="H35" s="178"/>
    </row>
    <row r="36" spans="1:8" s="28" customFormat="1" ht="30.75" customHeight="1">
      <c r="A36" s="176" t="s">
        <v>188</v>
      </c>
      <c r="B36" s="177">
        <v>1120</v>
      </c>
      <c r="C36" s="141" t="str">
        <f>'I. Фін результат'!C61</f>
        <v>(    )</v>
      </c>
      <c r="D36" s="141" t="str">
        <f>'I. Фін результат'!D61</f>
        <v>(    )</v>
      </c>
      <c r="E36" s="141" t="str">
        <f>'I. Фін результат'!E61</f>
        <v>(    )</v>
      </c>
      <c r="F36" s="141" t="str">
        <f>'I. Фін результат'!F61</f>
        <v>(    )</v>
      </c>
      <c r="G36" s="179" t="e">
        <f t="shared" si="2"/>
        <v>#VALUE!</v>
      </c>
      <c r="H36" s="178"/>
    </row>
    <row r="37" spans="1:8" s="28" customFormat="1" ht="30.75" customHeight="1">
      <c r="A37" s="176" t="s">
        <v>189</v>
      </c>
      <c r="B37" s="177">
        <v>1130</v>
      </c>
      <c r="C37" s="308">
        <f>'I. Фін результат'!C62</f>
        <v>108</v>
      </c>
      <c r="D37" s="308">
        <f>'I. Фін результат'!D62</f>
        <v>192</v>
      </c>
      <c r="E37" s="308">
        <f>'I. Фін результат'!E62</f>
        <v>150</v>
      </c>
      <c r="F37" s="308">
        <f>'I. Фін результат'!F62</f>
        <v>192</v>
      </c>
      <c r="G37" s="320">
        <f t="shared" si="2"/>
        <v>42</v>
      </c>
      <c r="H37" s="321"/>
    </row>
    <row r="38" spans="1:8" s="28" customFormat="1" ht="30.75" customHeight="1">
      <c r="A38" s="176" t="s">
        <v>190</v>
      </c>
      <c r="B38" s="177">
        <v>1140</v>
      </c>
      <c r="C38" s="143">
        <f>'I. Фін результат'!C63</f>
        <v>-1287</v>
      </c>
      <c r="D38" s="143">
        <f>'I. Фін результат'!D63</f>
        <v>-3988</v>
      </c>
      <c r="E38" s="143">
        <f>'I. Фін результат'!E63</f>
        <v>-3398.9</v>
      </c>
      <c r="F38" s="143">
        <f>'I. Фін результат'!F63</f>
        <v>-3988</v>
      </c>
      <c r="G38" s="127">
        <f t="shared" si="2"/>
        <v>-589.09999999999991</v>
      </c>
      <c r="H38" s="141">
        <f t="shared" si="0"/>
        <v>117.33207802524346</v>
      </c>
    </row>
    <row r="39" spans="1:8" s="28" customFormat="1" ht="30.75" customHeight="1">
      <c r="A39" s="176" t="s">
        <v>353</v>
      </c>
      <c r="B39" s="177">
        <v>1150</v>
      </c>
      <c r="C39" s="143">
        <f>'I. Фін результат'!C64</f>
        <v>5280.0000000000009</v>
      </c>
      <c r="D39" s="143">
        <f>'I. Фін результат'!D64</f>
        <v>6237</v>
      </c>
      <c r="E39" s="143">
        <f>'I. Фін результат'!E64</f>
        <v>5111</v>
      </c>
      <c r="F39" s="143">
        <f>'I. Фін результат'!F64</f>
        <v>6237</v>
      </c>
      <c r="G39" s="124">
        <f t="shared" si="2"/>
        <v>1126</v>
      </c>
      <c r="H39" s="141">
        <f t="shared" si="0"/>
        <v>122.03091371551555</v>
      </c>
    </row>
    <row r="40" spans="1:8" s="28" customFormat="1" ht="30.75" customHeight="1">
      <c r="A40" s="176" t="s">
        <v>354</v>
      </c>
      <c r="B40" s="177">
        <v>1160</v>
      </c>
      <c r="C40" s="143">
        <f>'I. Фін результат'!C67</f>
        <v>-264</v>
      </c>
      <c r="D40" s="143">
        <f>'I. Фін результат'!D67</f>
        <v>-24</v>
      </c>
      <c r="E40" s="143">
        <f>'I. Фін результат'!E67</f>
        <v>-100</v>
      </c>
      <c r="F40" s="143">
        <f>'I. Фін результат'!F67</f>
        <v>-24</v>
      </c>
      <c r="G40" s="124">
        <f t="shared" si="2"/>
        <v>76</v>
      </c>
      <c r="H40" s="141"/>
    </row>
    <row r="41" spans="1:8" s="28" customFormat="1" ht="29.25" customHeight="1">
      <c r="A41" s="101" t="s">
        <v>73</v>
      </c>
      <c r="B41" s="102">
        <v>1170</v>
      </c>
      <c r="C41" s="127">
        <f>SUM(C32,C35:C39,C40)</f>
        <v>-17118.000000000007</v>
      </c>
      <c r="D41" s="127">
        <f>SUM(D32,D35:D39,D40)</f>
        <v>-15756.999999999884</v>
      </c>
      <c r="E41" s="127">
        <f>ROUNDDOWN(SUM(E32,E35:E39,E40),0)</f>
        <v>0</v>
      </c>
      <c r="F41" s="127">
        <f>SUM(F32,F35:F39,F40)</f>
        <v>-15756.999999999884</v>
      </c>
      <c r="G41" s="127">
        <f t="shared" si="2"/>
        <v>-15756.999999999884</v>
      </c>
      <c r="H41" s="142"/>
    </row>
    <row r="42" spans="1:8" s="28" customFormat="1" ht="30.75" customHeight="1">
      <c r="A42" s="176" t="s">
        <v>197</v>
      </c>
      <c r="B42" s="177">
        <v>1180</v>
      </c>
      <c r="C42" s="143" t="str">
        <f>'I. Фін результат'!C71</f>
        <v>(    )</v>
      </c>
      <c r="D42" s="143" t="str">
        <f>'I. Фін результат'!D71</f>
        <v>(    )</v>
      </c>
      <c r="E42" s="143" t="str">
        <f>'I. Фін результат'!E71</f>
        <v>(    )</v>
      </c>
      <c r="F42" s="143" t="str">
        <f>'I. Фін результат'!F71</f>
        <v>(    )</v>
      </c>
      <c r="G42" s="124"/>
      <c r="H42" s="141"/>
    </row>
    <row r="43" spans="1:8" s="28" customFormat="1" ht="30.75" customHeight="1">
      <c r="A43" s="176" t="s">
        <v>198</v>
      </c>
      <c r="B43" s="177">
        <v>1181</v>
      </c>
      <c r="C43" s="140">
        <f>'I. Фін результат'!C72</f>
        <v>0</v>
      </c>
      <c r="D43" s="140">
        <f>'I. Фін результат'!D72</f>
        <v>0</v>
      </c>
      <c r="E43" s="140">
        <f>'I. Фін результат'!E72</f>
        <v>0</v>
      </c>
      <c r="F43" s="143">
        <f>'I. Фін результат'!F72</f>
        <v>0</v>
      </c>
      <c r="G43" s="179">
        <f t="shared" si="2"/>
        <v>0</v>
      </c>
      <c r="H43" s="178"/>
    </row>
    <row r="44" spans="1:8" s="28" customFormat="1" ht="30.75" customHeight="1">
      <c r="A44" s="176" t="s">
        <v>199</v>
      </c>
      <c r="B44" s="177">
        <v>1190</v>
      </c>
      <c r="C44" s="140">
        <f>'I. Фін результат'!C73</f>
        <v>0</v>
      </c>
      <c r="D44" s="140">
        <f>'I. Фін результат'!D73</f>
        <v>0</v>
      </c>
      <c r="E44" s="140">
        <f>'I. Фін результат'!E73</f>
        <v>0</v>
      </c>
      <c r="F44" s="143">
        <f>'I. Фін результат'!F73</f>
        <v>0</v>
      </c>
      <c r="G44" s="179">
        <f t="shared" si="2"/>
        <v>0</v>
      </c>
      <c r="H44" s="178"/>
    </row>
    <row r="45" spans="1:8" s="28" customFormat="1" ht="30.75" customHeight="1">
      <c r="A45" s="176" t="s">
        <v>200</v>
      </c>
      <c r="B45" s="177">
        <v>1191</v>
      </c>
      <c r="C45" s="140" t="str">
        <f>'I. Фін результат'!C74</f>
        <v>(    )</v>
      </c>
      <c r="D45" s="140" t="str">
        <f>'I. Фін результат'!D74</f>
        <v>(    )</v>
      </c>
      <c r="E45" s="140" t="str">
        <f>'I. Фін результат'!E74</f>
        <v>(    )</v>
      </c>
      <c r="F45" s="143" t="str">
        <f>'I. Фін результат'!F74</f>
        <v>(    )</v>
      </c>
      <c r="G45" s="179" t="e">
        <f t="shared" si="2"/>
        <v>#VALUE!</v>
      </c>
      <c r="H45" s="178"/>
    </row>
    <row r="46" spans="1:8" s="28" customFormat="1" ht="29.25" customHeight="1">
      <c r="A46" s="101" t="s">
        <v>232</v>
      </c>
      <c r="B46" s="102">
        <v>1200</v>
      </c>
      <c r="C46" s="127">
        <f>SUM(C41:C45)</f>
        <v>-17118.000000000007</v>
      </c>
      <c r="D46" s="127">
        <f>SUM(D41:D45)</f>
        <v>-15756.999999999884</v>
      </c>
      <c r="E46" s="127">
        <f>ROUNDDOWN(SUM(E41:E45),0)</f>
        <v>0</v>
      </c>
      <c r="F46" s="127">
        <f>SUM(F41:F45)</f>
        <v>-15756.999999999884</v>
      </c>
      <c r="G46" s="127">
        <f t="shared" si="2"/>
        <v>-15756.999999999884</v>
      </c>
      <c r="H46" s="142"/>
    </row>
    <row r="47" spans="1:8" s="28" customFormat="1" ht="30.75" customHeight="1">
      <c r="A47" s="176" t="s">
        <v>318</v>
      </c>
      <c r="B47" s="177">
        <v>1201</v>
      </c>
      <c r="C47" s="143">
        <f>'I. Фін результат'!C76</f>
        <v>0</v>
      </c>
      <c r="D47" s="143">
        <f>'I. Фін результат'!D76</f>
        <v>0</v>
      </c>
      <c r="E47" s="143">
        <f>'I. Фін результат'!E76</f>
        <v>0</v>
      </c>
      <c r="F47" s="143">
        <f>'I. Фін результат'!F76</f>
        <v>0</v>
      </c>
      <c r="G47" s="124">
        <f t="shared" si="2"/>
        <v>0</v>
      </c>
      <c r="H47" s="141"/>
    </row>
    <row r="48" spans="1:8" s="28" customFormat="1" ht="30.75" customHeight="1">
      <c r="A48" s="176" t="s">
        <v>319</v>
      </c>
      <c r="B48" s="177">
        <v>1202</v>
      </c>
      <c r="C48" s="143">
        <f>'I. Фін результат'!C77</f>
        <v>-17118</v>
      </c>
      <c r="D48" s="143" t="str">
        <f>'I. Фін результат'!D77</f>
        <v>(    )</v>
      </c>
      <c r="E48" s="143" t="str">
        <f>'I. Фін результат'!E77</f>
        <v>(    )</v>
      </c>
      <c r="F48" s="140" t="str">
        <f>'I. Фін результат'!F77</f>
        <v>(    )</v>
      </c>
      <c r="G48" s="179" t="e">
        <f t="shared" si="2"/>
        <v>#VALUE!</v>
      </c>
      <c r="H48" s="178"/>
    </row>
    <row r="49" spans="1:8" s="28" customFormat="1" ht="29.25" customHeight="1">
      <c r="A49" s="101" t="s">
        <v>19</v>
      </c>
      <c r="B49" s="102">
        <v>1210</v>
      </c>
      <c r="C49" s="127">
        <f>SUM(C25,C30,C35,C37,C39,C43,C44)</f>
        <v>539617</v>
      </c>
      <c r="D49" s="127">
        <f>SUM(D25,D30,D35,D37,D39,D43,D44)</f>
        <v>623460</v>
      </c>
      <c r="E49" s="127">
        <f>ROUNDDOWN(SUM(E25,E30,E35,E37,E39,E43,E44),0)</f>
        <v>868800</v>
      </c>
      <c r="F49" s="127">
        <f>SUM(F25,F30,F35,F37,F39,F43,F44)</f>
        <v>623460</v>
      </c>
      <c r="G49" s="127">
        <f t="shared" si="2"/>
        <v>-245340</v>
      </c>
      <c r="H49" s="142">
        <f t="shared" si="0"/>
        <v>71.761049723756912</v>
      </c>
    </row>
    <row r="50" spans="1:8" s="28" customFormat="1" ht="29.25" customHeight="1">
      <c r="A50" s="101" t="s">
        <v>88</v>
      </c>
      <c r="B50" s="102">
        <v>1220</v>
      </c>
      <c r="C50" s="127">
        <f>SUM(C26,C28,C29,C31,C36,C38,C40,C42,C45)</f>
        <v>-556735</v>
      </c>
      <c r="D50" s="127">
        <f>SUM(D26,D28,D29,D31,D36,D38,D40,D42,D45)</f>
        <v>-639216.99999999988</v>
      </c>
      <c r="E50" s="127">
        <f>ROUNDUP(SUM(E26,E28,E29,E31,E36,E38,E40,E42,E45),0)</f>
        <v>-868800</v>
      </c>
      <c r="F50" s="127">
        <f>SUM(F26,F28,F29,F31,F36,F38,F40,F42,F45)</f>
        <v>-639216.99999999988</v>
      </c>
      <c r="G50" s="127">
        <f t="shared" si="2"/>
        <v>229583.00000000012</v>
      </c>
      <c r="H50" s="142">
        <f t="shared" si="0"/>
        <v>73.574700736648239</v>
      </c>
    </row>
    <row r="51" spans="1:8" s="28" customFormat="1" ht="30.75" customHeight="1">
      <c r="A51" s="176" t="s">
        <v>143</v>
      </c>
      <c r="B51" s="177">
        <v>1230</v>
      </c>
      <c r="C51" s="140">
        <f>'I. Фін результат'!C80</f>
        <v>0</v>
      </c>
      <c r="D51" s="140">
        <f>'I. Фін результат'!D80</f>
        <v>0</v>
      </c>
      <c r="E51" s="140">
        <f>'I. Фін результат'!E80</f>
        <v>0</v>
      </c>
      <c r="F51" s="143">
        <f>'I. Фін результат'!F80</f>
        <v>0</v>
      </c>
      <c r="G51" s="143">
        <f t="shared" si="2"/>
        <v>0</v>
      </c>
      <c r="H51" s="178"/>
    </row>
    <row r="52" spans="1:8" s="28" customFormat="1" ht="29.25" customHeight="1">
      <c r="A52" s="101" t="s">
        <v>134</v>
      </c>
      <c r="B52" s="102"/>
      <c r="C52" s="103"/>
      <c r="D52" s="103"/>
      <c r="E52" s="103"/>
      <c r="F52" s="127"/>
      <c r="G52" s="127">
        <f t="shared" si="2"/>
        <v>0</v>
      </c>
      <c r="H52" s="104"/>
    </row>
    <row r="53" spans="1:8" s="28" customFormat="1" ht="31.5" customHeight="1">
      <c r="A53" s="176" t="s">
        <v>421</v>
      </c>
      <c r="B53" s="177">
        <v>1400</v>
      </c>
      <c r="C53" s="143">
        <f>'I. Фін результат'!C90</f>
        <v>152153</v>
      </c>
      <c r="D53" s="143">
        <f>'I. Фін результат'!D90</f>
        <v>206057</v>
      </c>
      <c r="E53" s="143">
        <f>'I. Фін результат'!E90</f>
        <v>338962</v>
      </c>
      <c r="F53" s="143">
        <f>'I. Фін результат'!F90</f>
        <v>206057</v>
      </c>
      <c r="G53" s="143">
        <f t="shared" si="2"/>
        <v>-132905</v>
      </c>
      <c r="H53" s="147">
        <f t="shared" si="0"/>
        <v>60.790590095644937</v>
      </c>
    </row>
    <row r="54" spans="1:8" s="28" customFormat="1" ht="30.75" customHeight="1">
      <c r="A54" s="176" t="s">
        <v>5</v>
      </c>
      <c r="B54" s="177">
        <v>1410</v>
      </c>
      <c r="C54" s="143">
        <f>'I. Фін результат'!C91</f>
        <v>260418</v>
      </c>
      <c r="D54" s="143">
        <f>'I. Фін результат'!D91</f>
        <v>295481</v>
      </c>
      <c r="E54" s="143">
        <f>'I. Фін результат'!E91</f>
        <v>335389</v>
      </c>
      <c r="F54" s="143">
        <f>'I. Фін результат'!F91</f>
        <v>295481</v>
      </c>
      <c r="G54" s="143">
        <f t="shared" si="2"/>
        <v>-39908</v>
      </c>
      <c r="H54" s="147">
        <f t="shared" si="0"/>
        <v>88.100981248639641</v>
      </c>
    </row>
    <row r="55" spans="1:8" s="28" customFormat="1" ht="35.25" customHeight="1">
      <c r="A55" s="176" t="s">
        <v>6</v>
      </c>
      <c r="B55" s="177">
        <v>1420</v>
      </c>
      <c r="C55" s="143">
        <f>'I. Фін результат'!C92</f>
        <v>60784</v>
      </c>
      <c r="D55" s="143">
        <f>'I. Фін результат'!D92</f>
        <v>68406</v>
      </c>
      <c r="E55" s="143">
        <f>'I. Фін результат'!E92</f>
        <v>78902</v>
      </c>
      <c r="F55" s="143">
        <f>'I. Фін результат'!F92</f>
        <v>68406</v>
      </c>
      <c r="G55" s="143">
        <f t="shared" si="2"/>
        <v>-10496</v>
      </c>
      <c r="H55" s="147">
        <f t="shared" si="0"/>
        <v>86.697422118577478</v>
      </c>
    </row>
    <row r="56" spans="1:8" s="28" customFormat="1" ht="34.5" customHeight="1">
      <c r="A56" s="176" t="s">
        <v>7</v>
      </c>
      <c r="B56" s="177">
        <v>1430</v>
      </c>
      <c r="C56" s="143">
        <f>'I. Фін результат'!C93</f>
        <v>25265</v>
      </c>
      <c r="D56" s="143">
        <f>'I. Фін результат'!D93</f>
        <v>29002</v>
      </c>
      <c r="E56" s="143">
        <f>'I. Фін результат'!E93</f>
        <v>25063</v>
      </c>
      <c r="F56" s="143">
        <f>'I. Фін результат'!F93</f>
        <v>29002</v>
      </c>
      <c r="G56" s="143">
        <f t="shared" si="2"/>
        <v>3939</v>
      </c>
      <c r="H56" s="147">
        <f t="shared" si="0"/>
        <v>115.71639468539281</v>
      </c>
    </row>
    <row r="57" spans="1:8" s="28" customFormat="1" ht="33" customHeight="1">
      <c r="A57" s="176" t="s">
        <v>27</v>
      </c>
      <c r="B57" s="177">
        <v>1440</v>
      </c>
      <c r="C57" s="143">
        <f>'I. Фін результат'!C94</f>
        <v>55549</v>
      </c>
      <c r="D57" s="143">
        <f>'I. Фін результат'!D94</f>
        <v>35985</v>
      </c>
      <c r="E57" s="143">
        <f>'I. Фін результат'!E94</f>
        <v>86985</v>
      </c>
      <c r="F57" s="143">
        <f>'I. Фін результат'!F94</f>
        <v>35985</v>
      </c>
      <c r="G57" s="143">
        <f t="shared" si="2"/>
        <v>-51000</v>
      </c>
      <c r="H57" s="147">
        <f t="shared" si="0"/>
        <v>41.369201586480422</v>
      </c>
    </row>
    <row r="58" spans="1:8" s="28" customFormat="1" ht="33.75" customHeight="1" thickBot="1">
      <c r="A58" s="101" t="s">
        <v>49</v>
      </c>
      <c r="B58" s="102">
        <v>1450</v>
      </c>
      <c r="C58" s="127">
        <f>SUM(C53,C54,C55,C56,C57)</f>
        <v>554169</v>
      </c>
      <c r="D58" s="127">
        <f>SUM(D53,D54,D55,D56,D57)</f>
        <v>634931</v>
      </c>
      <c r="E58" s="127">
        <f>SUM(E53,E54,E55,E56,E57)</f>
        <v>865301</v>
      </c>
      <c r="F58" s="127">
        <f>SUM(F53,F54,F55,F56,F57)</f>
        <v>634931</v>
      </c>
      <c r="G58" s="127">
        <f t="shared" si="2"/>
        <v>-230370</v>
      </c>
      <c r="H58" s="148">
        <f t="shared" si="0"/>
        <v>73.376894283029841</v>
      </c>
    </row>
    <row r="59" spans="1:8" s="28" customFormat="1" ht="33.75" customHeight="1" thickBot="1">
      <c r="A59" s="431" t="s">
        <v>103</v>
      </c>
      <c r="B59" s="432"/>
      <c r="C59" s="432"/>
      <c r="D59" s="432"/>
      <c r="E59" s="432"/>
      <c r="F59" s="432"/>
      <c r="G59" s="432"/>
      <c r="H59" s="433"/>
    </row>
    <row r="60" spans="1:8" s="28" customFormat="1" ht="37.5" customHeight="1">
      <c r="A60" s="446" t="s">
        <v>355</v>
      </c>
      <c r="B60" s="447"/>
      <c r="C60" s="447"/>
      <c r="D60" s="447"/>
      <c r="E60" s="447"/>
      <c r="F60" s="447"/>
      <c r="G60" s="447"/>
      <c r="H60" s="448"/>
    </row>
    <row r="61" spans="1:8" s="28" customFormat="1" ht="50.25" customHeight="1">
      <c r="A61" s="106" t="s">
        <v>363</v>
      </c>
      <c r="B61" s="107">
        <v>2110</v>
      </c>
      <c r="C61" s="124">
        <f>'ІІ. Розр. з бюджетом'!C19</f>
        <v>4452.8999999999996</v>
      </c>
      <c r="D61" s="124">
        <f>'ІІ. Розр. з бюджетом'!D19</f>
        <v>5028</v>
      </c>
      <c r="E61" s="124">
        <f>'ІІ. Розр. з бюджетом'!E19</f>
        <v>5931</v>
      </c>
      <c r="F61" s="54">
        <f>'ІІ. Розр. з бюджетом'!F19</f>
        <v>5028</v>
      </c>
      <c r="G61" s="54">
        <f t="shared" ref="G61:G64" si="4">F61-E61</f>
        <v>-903</v>
      </c>
      <c r="H61" s="141">
        <f t="shared" ref="H61:H91" si="5">(F61/E61)*100</f>
        <v>84.774911482043507</v>
      </c>
    </row>
    <row r="62" spans="1:8" s="28" customFormat="1" ht="51" customHeight="1">
      <c r="A62" s="106" t="s">
        <v>357</v>
      </c>
      <c r="B62" s="109">
        <v>2120</v>
      </c>
      <c r="C62" s="125">
        <f>'ІІ. Розр. з бюджетом'!C27</f>
        <v>48359.700000000004</v>
      </c>
      <c r="D62" s="125">
        <f>'ІІ. Розр. з бюджетом'!D27</f>
        <v>53635.100000000006</v>
      </c>
      <c r="E62" s="125">
        <f>'ІІ. Розр. з бюджетом'!E27</f>
        <v>60383</v>
      </c>
      <c r="F62" s="143">
        <f>'ІІ. Розр. з бюджетом'!F27</f>
        <v>53635.100000000006</v>
      </c>
      <c r="G62" s="54">
        <f t="shared" si="4"/>
        <v>-6747.8999999999942</v>
      </c>
      <c r="H62" s="141">
        <f t="shared" si="5"/>
        <v>88.824834804497968</v>
      </c>
    </row>
    <row r="63" spans="1:8" s="28" customFormat="1" ht="36.75" customHeight="1">
      <c r="A63" s="106" t="s">
        <v>358</v>
      </c>
      <c r="B63" s="109">
        <v>2130</v>
      </c>
      <c r="C63" s="125">
        <f>'ІІ. Розр. з бюджетом'!C36</f>
        <v>56122.799999999996</v>
      </c>
      <c r="D63" s="125">
        <f>'ІІ. Розр. з бюджетом'!D36</f>
        <v>62381.100000000006</v>
      </c>
      <c r="E63" s="125">
        <f>'ІІ. Розр. з бюджетом'!E36</f>
        <v>73825</v>
      </c>
      <c r="F63" s="143">
        <f>'ІІ. Розр. з бюджетом'!F36</f>
        <v>62381.100000000006</v>
      </c>
      <c r="G63" s="54">
        <f t="shared" si="4"/>
        <v>-11443.899999999994</v>
      </c>
      <c r="H63" s="141">
        <f t="shared" si="5"/>
        <v>84.498611581442603</v>
      </c>
    </row>
    <row r="64" spans="1:8" s="28" customFormat="1" ht="33" customHeight="1" thickBot="1">
      <c r="A64" s="105" t="s">
        <v>401</v>
      </c>
      <c r="B64" s="102">
        <v>2200</v>
      </c>
      <c r="C64" s="126">
        <f>'ІІ. Розр. з бюджетом'!C43</f>
        <v>108935.4</v>
      </c>
      <c r="D64" s="126">
        <f>'ІІ. Розр. з бюджетом'!D43</f>
        <v>121044.20000000001</v>
      </c>
      <c r="E64" s="126">
        <f>'ІІ. Розр. з бюджетом'!E43</f>
        <v>140139</v>
      </c>
      <c r="F64" s="144">
        <f>'ІІ. Розр. з бюджетом'!F43</f>
        <v>121044.20000000001</v>
      </c>
      <c r="G64" s="51">
        <f t="shared" si="4"/>
        <v>-19094.799999999988</v>
      </c>
      <c r="H64" s="142">
        <f t="shared" si="5"/>
        <v>86.374385431607209</v>
      </c>
    </row>
    <row r="65" spans="1:8" s="28" customFormat="1" ht="33" customHeight="1" thickBot="1">
      <c r="A65" s="431" t="s">
        <v>239</v>
      </c>
      <c r="B65" s="432"/>
      <c r="C65" s="432"/>
      <c r="D65" s="432"/>
      <c r="E65" s="432"/>
      <c r="F65" s="432"/>
      <c r="G65" s="432"/>
      <c r="H65" s="433"/>
    </row>
    <row r="66" spans="1:8" s="28" customFormat="1" ht="37.5" customHeight="1">
      <c r="A66" s="112" t="s">
        <v>236</v>
      </c>
      <c r="B66" s="113">
        <v>3405</v>
      </c>
      <c r="C66" s="406">
        <f>'ІІІ. Рух грош. коштів'!C66</f>
        <v>5992</v>
      </c>
      <c r="D66" s="126">
        <f>'ІІІ. Рух грош. коштів'!D66</f>
        <v>2050.6999999999043</v>
      </c>
      <c r="E66" s="126">
        <f>'ІІІ. Рух грош. коштів'!E66</f>
        <v>920</v>
      </c>
      <c r="F66" s="126">
        <f>'ІІІ. Рух грош. коштів'!F66</f>
        <v>2050.6999999999043</v>
      </c>
      <c r="G66" s="127">
        <f t="shared" ref="G66:G72" si="6">F66-E66</f>
        <v>1130.6999999999043</v>
      </c>
      <c r="H66" s="148">
        <f t="shared" si="5"/>
        <v>222.90217391303307</v>
      </c>
    </row>
    <row r="67" spans="1:8" s="28" customFormat="1" ht="33" customHeight="1">
      <c r="A67" s="114" t="s">
        <v>282</v>
      </c>
      <c r="B67" s="115">
        <v>3030</v>
      </c>
      <c r="C67" s="125">
        <f>'ІІІ. Рух грош. коштів'!C12</f>
        <v>401764.3</v>
      </c>
      <c r="D67" s="125">
        <f>'ІІІ. Рух грош. коштів'!D12</f>
        <v>425954.3</v>
      </c>
      <c r="E67" s="125">
        <f>'ІІІ. Рух грош. коштів'!E12</f>
        <v>590042</v>
      </c>
      <c r="F67" s="125">
        <f>'ІІІ. Рух грош. коштів'!F12</f>
        <v>425954.3</v>
      </c>
      <c r="G67" s="124">
        <f t="shared" si="6"/>
        <v>-164087.70000000001</v>
      </c>
      <c r="H67" s="147"/>
    </row>
    <row r="68" spans="1:8" s="28" customFormat="1" ht="33" customHeight="1">
      <c r="A68" s="114" t="s">
        <v>230</v>
      </c>
      <c r="B68" s="115">
        <v>3195</v>
      </c>
      <c r="C68" s="125">
        <f>'ІІІ. Рух грош. коштів'!C34</f>
        <v>9746.8999999999069</v>
      </c>
      <c r="D68" s="125">
        <f>'ІІІ. Рух грош. коштів'!D34</f>
        <v>10354</v>
      </c>
      <c r="E68" s="125">
        <f>'ІІІ. Рух грош. коштів'!E34</f>
        <v>-15859.699999999953</v>
      </c>
      <c r="F68" s="125">
        <f>'ІІІ. Рух грош. коштів'!F34</f>
        <v>10354</v>
      </c>
      <c r="G68" s="124">
        <f t="shared" si="6"/>
        <v>26213.699999999953</v>
      </c>
      <c r="H68" s="147">
        <f>(F68/E68)*100</f>
        <v>-65.284967559285676</v>
      </c>
    </row>
    <row r="69" spans="1:8" s="28" customFormat="1" ht="33" customHeight="1">
      <c r="A69" s="114" t="s">
        <v>104</v>
      </c>
      <c r="B69" s="115">
        <v>3295</v>
      </c>
      <c r="C69" s="125">
        <f>'ІІІ. Рух грош. коштів'!C52</f>
        <v>-26132.7</v>
      </c>
      <c r="D69" s="125">
        <f>'ІІІ. Рух грош. коштів'!D52</f>
        <v>-65147</v>
      </c>
      <c r="E69" s="125">
        <f>'ІІІ. Рух грош. коштів'!E52</f>
        <v>-88183</v>
      </c>
      <c r="F69" s="125">
        <f>'ІІІ. Рух грош. коштів'!F52</f>
        <v>-65147</v>
      </c>
      <c r="G69" s="124">
        <f t="shared" si="6"/>
        <v>23036</v>
      </c>
      <c r="H69" s="147">
        <f t="shared" ref="H69:H70" si="7">(F69/E69)*100</f>
        <v>73.877051132304416</v>
      </c>
    </row>
    <row r="70" spans="1:8" s="28" customFormat="1" ht="33" customHeight="1">
      <c r="A70" s="114" t="s">
        <v>238</v>
      </c>
      <c r="B70" s="115">
        <v>3395</v>
      </c>
      <c r="C70" s="125">
        <f>'ІІІ. Рух грош. коштів'!C64</f>
        <v>12444.499999999998</v>
      </c>
      <c r="D70" s="125">
        <f>'ІІІ. Рух грош. коштів'!D64</f>
        <v>57581.200000000004</v>
      </c>
      <c r="E70" s="125">
        <f>'ІІІ. Рух грош. коштів'!E64</f>
        <v>104043.1</v>
      </c>
      <c r="F70" s="125">
        <f>'ІІІ. Рух грош. коштів'!F64</f>
        <v>57581.200000000004</v>
      </c>
      <c r="G70" s="124">
        <f t="shared" si="6"/>
        <v>-46461.9</v>
      </c>
      <c r="H70" s="147">
        <f t="shared" si="7"/>
        <v>55.343602795380001</v>
      </c>
    </row>
    <row r="71" spans="1:8" s="28" customFormat="1" ht="33" customHeight="1">
      <c r="A71" s="114" t="s">
        <v>107</v>
      </c>
      <c r="B71" s="115">
        <v>3410</v>
      </c>
      <c r="C71" s="125">
        <f>'ІІІ. Рух грош. коштів'!C67</f>
        <v>0</v>
      </c>
      <c r="D71" s="125">
        <f>'ІІІ. Рух грош. коштів'!D67</f>
        <v>0</v>
      </c>
      <c r="E71" s="125">
        <f>'ІІІ. Рух грош. коштів'!E67</f>
        <v>0</v>
      </c>
      <c r="F71" s="125">
        <f>'ІІІ. Рух грош. коштів'!F67</f>
        <v>0</v>
      </c>
      <c r="G71" s="124">
        <f t="shared" si="6"/>
        <v>0</v>
      </c>
      <c r="H71" s="147"/>
    </row>
    <row r="72" spans="1:8" s="28" customFormat="1" ht="37.5" customHeight="1" thickBot="1">
      <c r="A72" s="112" t="s">
        <v>237</v>
      </c>
      <c r="B72" s="113">
        <v>3415</v>
      </c>
      <c r="C72" s="406">
        <f>SUM(C66,C68:C71)</f>
        <v>2050.6999999999043</v>
      </c>
      <c r="D72" s="126">
        <f>ROUNDUP(SUM(D66,D68:D71),0)</f>
        <v>4839</v>
      </c>
      <c r="E72" s="126">
        <f>SUM(E66,E68:E71)</f>
        <v>920.40000000005239</v>
      </c>
      <c r="F72" s="126">
        <f>D72</f>
        <v>4839</v>
      </c>
      <c r="G72" s="127">
        <f t="shared" si="6"/>
        <v>3918.5999999999476</v>
      </c>
      <c r="H72" s="148">
        <f t="shared" si="5"/>
        <v>525.74967405472887</v>
      </c>
    </row>
    <row r="73" spans="1:8" s="28" customFormat="1" ht="33" customHeight="1">
      <c r="A73" s="434" t="s">
        <v>240</v>
      </c>
      <c r="B73" s="435"/>
      <c r="C73" s="435"/>
      <c r="D73" s="435"/>
      <c r="E73" s="435"/>
      <c r="F73" s="435"/>
      <c r="G73" s="435"/>
      <c r="H73" s="436"/>
    </row>
    <row r="74" spans="1:8" s="28" customFormat="1" ht="27.75" customHeight="1">
      <c r="A74" s="105" t="s">
        <v>191</v>
      </c>
      <c r="B74" s="116">
        <v>4000</v>
      </c>
      <c r="C74" s="127">
        <f>SUM(C75:C80)</f>
        <v>35222.1</v>
      </c>
      <c r="D74" s="127">
        <f>SUM(D75:D80)</f>
        <v>161606.6</v>
      </c>
      <c r="E74" s="127">
        <f>SUM(E75:E80)</f>
        <v>88182.6</v>
      </c>
      <c r="F74" s="127">
        <f>SUM(F75:F80)</f>
        <v>161606.6</v>
      </c>
      <c r="G74" s="127">
        <f t="shared" ref="G74:G80" si="8">F74-E74</f>
        <v>73424</v>
      </c>
      <c r="H74" s="134">
        <f t="shared" si="5"/>
        <v>183.26359168362012</v>
      </c>
    </row>
    <row r="75" spans="1:8" s="28" customFormat="1" ht="33" customHeight="1">
      <c r="A75" s="114" t="s">
        <v>1</v>
      </c>
      <c r="B75" s="113" t="s">
        <v>129</v>
      </c>
      <c r="C75" s="124">
        <f>'IV. Кап. інвестиції'!C8</f>
        <v>112</v>
      </c>
      <c r="D75" s="124">
        <f>'IV. Кап. інвестиції'!D8</f>
        <v>2797.4</v>
      </c>
      <c r="E75" s="124">
        <f>'IV. Кап. інвестиції'!E8</f>
        <v>0</v>
      </c>
      <c r="F75" s="124">
        <f>'IV. Кап. інвестиції'!F8</f>
        <v>2797.4</v>
      </c>
      <c r="G75" s="127">
        <f t="shared" si="8"/>
        <v>2797.4</v>
      </c>
      <c r="H75" s="153"/>
    </row>
    <row r="76" spans="1:8" s="28" customFormat="1" ht="33" customHeight="1">
      <c r="A76" s="114" t="s">
        <v>2</v>
      </c>
      <c r="B76" s="113">
        <v>4020</v>
      </c>
      <c r="C76" s="124">
        <f>'IV. Кап. інвестиції'!C9</f>
        <v>19945.099999999999</v>
      </c>
      <c r="D76" s="124">
        <f>F76</f>
        <v>123868.40000000001</v>
      </c>
      <c r="E76" s="124">
        <f>'IV. Кап. інвестиції'!E9</f>
        <v>48020.4</v>
      </c>
      <c r="F76" s="124">
        <f>'IV. Кап. інвестиції'!F9</f>
        <v>123868.40000000001</v>
      </c>
      <c r="G76" s="124">
        <f t="shared" si="8"/>
        <v>75848</v>
      </c>
      <c r="H76" s="153"/>
    </row>
    <row r="77" spans="1:8" s="28" customFormat="1" ht="50.25" customHeight="1">
      <c r="A77" s="114" t="s">
        <v>28</v>
      </c>
      <c r="B77" s="113">
        <v>4030</v>
      </c>
      <c r="C77" s="124">
        <f>'IV. Кап. інвестиції'!C10</f>
        <v>0</v>
      </c>
      <c r="D77" s="124">
        <f t="shared" ref="D77:D78" si="9">F77</f>
        <v>0</v>
      </c>
      <c r="E77" s="124">
        <f>'IV. Кап. інвестиції'!E10</f>
        <v>0</v>
      </c>
      <c r="F77" s="124">
        <f>'IV. Кап. інвестиції'!F10</f>
        <v>0</v>
      </c>
      <c r="G77" s="124">
        <f t="shared" si="8"/>
        <v>0</v>
      </c>
      <c r="H77" s="153"/>
    </row>
    <row r="78" spans="1:8" s="28" customFormat="1" ht="33" customHeight="1">
      <c r="A78" s="114" t="s">
        <v>3</v>
      </c>
      <c r="B78" s="113">
        <v>4040</v>
      </c>
      <c r="C78" s="124">
        <f>'IV. Кап. інвестиції'!C11</f>
        <v>16</v>
      </c>
      <c r="D78" s="124">
        <f t="shared" si="9"/>
        <v>9</v>
      </c>
      <c r="E78" s="124">
        <f>'IV. Кап. інвестиції'!E11</f>
        <v>0</v>
      </c>
      <c r="F78" s="124">
        <f>'IV. Кап. інвестиції'!F11</f>
        <v>9</v>
      </c>
      <c r="G78" s="124">
        <f t="shared" si="8"/>
        <v>9</v>
      </c>
      <c r="H78" s="153"/>
    </row>
    <row r="79" spans="1:8" s="28" customFormat="1" ht="51.75" customHeight="1">
      <c r="A79" s="114" t="s">
        <v>59</v>
      </c>
      <c r="B79" s="113">
        <v>4050</v>
      </c>
      <c r="C79" s="124">
        <f>'IV. Кап. інвестиції'!C12</f>
        <v>15149</v>
      </c>
      <c r="D79" s="124">
        <f>'IV. Кап. інвестиції'!D12</f>
        <v>34931.800000000003</v>
      </c>
      <c r="E79" s="124">
        <f>'IV. Кап. інвестиції'!E12</f>
        <v>27373.4</v>
      </c>
      <c r="F79" s="108">
        <f>'IV. Кап. інвестиції'!F12</f>
        <v>34931.800000000003</v>
      </c>
      <c r="G79" s="103"/>
      <c r="H79" s="100"/>
    </row>
    <row r="80" spans="1:8" s="28" customFormat="1" ht="33" customHeight="1">
      <c r="A80" s="114" t="s">
        <v>201</v>
      </c>
      <c r="B80" s="113">
        <v>4060</v>
      </c>
      <c r="C80" s="124">
        <f>'IV. Кап. інвестиції'!C13</f>
        <v>0</v>
      </c>
      <c r="D80" s="124">
        <f>'IV. Кап. інвестиції'!D13</f>
        <v>0</v>
      </c>
      <c r="E80" s="124">
        <f>'IV. Кап. інвестиції'!E13</f>
        <v>12788.800000000001</v>
      </c>
      <c r="F80" s="108">
        <f>'IV. Кап. інвестиції'!F13</f>
        <v>0</v>
      </c>
      <c r="G80" s="127">
        <f t="shared" si="8"/>
        <v>-12788.800000000001</v>
      </c>
      <c r="H80" s="153"/>
    </row>
    <row r="81" spans="1:8" s="28" customFormat="1" ht="27.75" customHeight="1">
      <c r="A81" s="105" t="s">
        <v>192</v>
      </c>
      <c r="B81" s="116">
        <v>4000</v>
      </c>
      <c r="C81" s="127">
        <f>SUM(C82:C85)</f>
        <v>35222.6</v>
      </c>
      <c r="D81" s="127">
        <f>SUM(D82:D85)</f>
        <v>161606.6</v>
      </c>
      <c r="E81" s="127">
        <f>SUM(E82:E85)</f>
        <v>88182.6</v>
      </c>
      <c r="F81" s="127">
        <f>SUM(F82:F85)</f>
        <v>161606.6</v>
      </c>
      <c r="G81" s="127">
        <f>F81-E81</f>
        <v>73424</v>
      </c>
      <c r="H81" s="134">
        <f t="shared" si="5"/>
        <v>183.26359168362012</v>
      </c>
    </row>
    <row r="82" spans="1:8" s="28" customFormat="1" ht="33" customHeight="1">
      <c r="A82" s="114" t="s">
        <v>295</v>
      </c>
      <c r="B82" s="113" t="s">
        <v>193</v>
      </c>
      <c r="C82" s="124"/>
      <c r="D82" s="124">
        <f>F82</f>
        <v>79876.5</v>
      </c>
      <c r="E82" s="124">
        <f>'6.2. Інша інфо_2'!M57</f>
        <v>0</v>
      </c>
      <c r="F82" s="124">
        <f>'6.2. Інша інфо_2'!N57</f>
        <v>79876.5</v>
      </c>
      <c r="G82" s="127">
        <f>F82-E82</f>
        <v>79876.5</v>
      </c>
      <c r="H82" s="153"/>
    </row>
    <row r="83" spans="1:8" s="28" customFormat="1" ht="33" customHeight="1">
      <c r="A83" s="114" t="s">
        <v>296</v>
      </c>
      <c r="B83" s="113" t="s">
        <v>194</v>
      </c>
      <c r="C83" s="124">
        <v>17883.599999999999</v>
      </c>
      <c r="D83" s="124">
        <f>F83</f>
        <v>78279.5</v>
      </c>
      <c r="E83" s="124">
        <f>'6.2. Інша інфо_2'!Q57</f>
        <v>74493.8</v>
      </c>
      <c r="F83" s="124">
        <f>'6.2. Інша інфо_2'!R57</f>
        <v>78279.5</v>
      </c>
      <c r="G83" s="127">
        <f>F83-E83</f>
        <v>3785.6999999999971</v>
      </c>
      <c r="H83" s="153"/>
    </row>
    <row r="84" spans="1:8" s="28" customFormat="1" ht="33" customHeight="1">
      <c r="A84" s="114" t="s">
        <v>161</v>
      </c>
      <c r="B84" s="113" t="s">
        <v>195</v>
      </c>
      <c r="C84" s="124">
        <v>17339</v>
      </c>
      <c r="D84" s="124">
        <f>F84</f>
        <v>3450.6</v>
      </c>
      <c r="E84" s="124">
        <f>'6.2. Інша інфо_2'!U57</f>
        <v>13688.800000000001</v>
      </c>
      <c r="F84" s="124">
        <f>'6.2. Інша інфо_2'!V57</f>
        <v>3450.6</v>
      </c>
      <c r="G84" s="124">
        <f>F84-E84</f>
        <v>-10238.200000000001</v>
      </c>
      <c r="H84" s="153">
        <f t="shared" si="5"/>
        <v>25.207468879668049</v>
      </c>
    </row>
    <row r="85" spans="1:8" s="28" customFormat="1" ht="33" customHeight="1">
      <c r="A85" s="114" t="s">
        <v>297</v>
      </c>
      <c r="B85" s="113" t="s">
        <v>196</v>
      </c>
      <c r="C85" s="124"/>
      <c r="D85" s="124">
        <f>F85</f>
        <v>0</v>
      </c>
      <c r="E85" s="124">
        <f>'6.2. Інша інфо_2'!Y57</f>
        <v>0</v>
      </c>
      <c r="F85" s="169">
        <f>'6.2. Інша інфо_2'!Z57</f>
        <v>0</v>
      </c>
      <c r="G85" s="124">
        <f>F85-E85</f>
        <v>0</v>
      </c>
      <c r="H85" s="153"/>
    </row>
    <row r="86" spans="1:8" s="28" customFormat="1" ht="33" customHeight="1" thickBot="1">
      <c r="A86" s="437" t="s">
        <v>127</v>
      </c>
      <c r="B86" s="438"/>
      <c r="C86" s="438"/>
      <c r="D86" s="438"/>
      <c r="E86" s="438"/>
      <c r="F86" s="438"/>
      <c r="G86" s="438"/>
      <c r="H86" s="439"/>
    </row>
    <row r="87" spans="1:8" s="28" customFormat="1" ht="33" customHeight="1">
      <c r="A87" s="5" t="s">
        <v>267</v>
      </c>
      <c r="B87" s="6">
        <v>5040</v>
      </c>
      <c r="C87" s="139">
        <f>(C46/C25)*100</f>
        <v>-13.337904488822753</v>
      </c>
      <c r="D87" s="139">
        <f t="shared" ref="D87:F87" si="10">(D46/D25)*100</f>
        <v>-8.4373477266763501</v>
      </c>
      <c r="E87" s="139">
        <f t="shared" si="10"/>
        <v>0</v>
      </c>
      <c r="F87" s="139">
        <f t="shared" si="10"/>
        <v>-8.4373477266763501</v>
      </c>
      <c r="G87" s="151">
        <f>F87-E87</f>
        <v>-8.4373477266763501</v>
      </c>
      <c r="H87" s="152"/>
    </row>
    <row r="88" spans="1:8" s="28" customFormat="1" ht="33" customHeight="1">
      <c r="A88" s="5" t="s">
        <v>268</v>
      </c>
      <c r="B88" s="6">
        <v>5020</v>
      </c>
      <c r="C88" s="139">
        <f>(C46/C99)*100</f>
        <v>-5.6253142427120357</v>
      </c>
      <c r="D88" s="139">
        <f>(D46/D99)*100</f>
        <v>-3.5066909095764425</v>
      </c>
      <c r="E88" s="139">
        <f>(E46/E99)*100</f>
        <v>0</v>
      </c>
      <c r="F88" s="139">
        <f>(F46/F99)*100</f>
        <v>-3.5066909095764425</v>
      </c>
      <c r="G88" s="151">
        <f>F88-E88</f>
        <v>-3.5066909095764425</v>
      </c>
      <c r="H88" s="152"/>
    </row>
    <row r="89" spans="1:8" s="28" customFormat="1" ht="33" customHeight="1">
      <c r="A89" s="5" t="s">
        <v>269</v>
      </c>
      <c r="B89" s="6">
        <v>5030</v>
      </c>
      <c r="C89" s="139">
        <f>(C46/C100)*100</f>
        <v>-7.233375448441393</v>
      </c>
      <c r="D89" s="139">
        <f t="shared" ref="D89:F89" si="11">(D46/D100)*100</f>
        <v>-5.4214836223506344</v>
      </c>
      <c r="E89" s="139">
        <f t="shared" si="11"/>
        <v>0</v>
      </c>
      <c r="F89" s="139">
        <f t="shared" si="11"/>
        <v>-5.4214836223506344</v>
      </c>
      <c r="G89" s="151">
        <f>F89-E89</f>
        <v>-5.4214836223506344</v>
      </c>
      <c r="H89" s="152"/>
    </row>
    <row r="90" spans="1:8" s="28" customFormat="1" ht="33" customHeight="1">
      <c r="A90" s="5" t="s">
        <v>133</v>
      </c>
      <c r="B90" s="6">
        <v>5110</v>
      </c>
      <c r="C90" s="139">
        <f>C100/C103</f>
        <v>3.4981966001478195</v>
      </c>
      <c r="D90" s="139">
        <f t="shared" ref="D90:F90" si="12">D100/D103</f>
        <v>1.8313684223791911</v>
      </c>
      <c r="E90" s="139">
        <f t="shared" si="12"/>
        <v>2.2861249239420069</v>
      </c>
      <c r="F90" s="139">
        <f t="shared" si="12"/>
        <v>1.8313684223791911</v>
      </c>
      <c r="G90" s="151">
        <f>F90-E90</f>
        <v>-0.45475650156281588</v>
      </c>
      <c r="H90" s="152">
        <f t="shared" si="5"/>
        <v>80.107976742641384</v>
      </c>
    </row>
    <row r="91" spans="1:8" s="28" customFormat="1" ht="33" customHeight="1" thickBot="1">
      <c r="A91" s="5" t="s">
        <v>270</v>
      </c>
      <c r="B91" s="6">
        <v>5220</v>
      </c>
      <c r="C91" s="139">
        <f>C96/C95</f>
        <v>0.41212361602836256</v>
      </c>
      <c r="D91" s="139">
        <f>D96/D95</f>
        <v>0.33297209381955145</v>
      </c>
      <c r="E91" s="139">
        <f>E96/E95</f>
        <v>0.28892688712509018</v>
      </c>
      <c r="F91" s="139">
        <f>F96/F95</f>
        <v>0.33297209381955145</v>
      </c>
      <c r="G91" s="151">
        <f>F91-E91</f>
        <v>4.404520669446127E-2</v>
      </c>
      <c r="H91" s="152">
        <f t="shared" si="5"/>
        <v>115.2444125684267</v>
      </c>
    </row>
    <row r="92" spans="1:8" s="28" customFormat="1" ht="33" customHeight="1" thickBot="1">
      <c r="A92" s="431" t="s">
        <v>241</v>
      </c>
      <c r="B92" s="432"/>
      <c r="C92" s="432"/>
      <c r="D92" s="432"/>
      <c r="E92" s="432"/>
      <c r="F92" s="432"/>
      <c r="G92" s="432"/>
      <c r="H92" s="433"/>
    </row>
    <row r="93" spans="1:8" s="28" customFormat="1" ht="33" customHeight="1">
      <c r="A93" s="105" t="s">
        <v>261</v>
      </c>
      <c r="B93" s="115">
        <v>6000</v>
      </c>
      <c r="C93" s="144">
        <v>271892</v>
      </c>
      <c r="D93" s="126">
        <v>401432</v>
      </c>
      <c r="E93" s="144">
        <v>428780</v>
      </c>
      <c r="F93" s="126">
        <f>D93</f>
        <v>401432</v>
      </c>
      <c r="G93" s="127">
        <f>F93-E93</f>
        <v>-27348</v>
      </c>
      <c r="H93" s="148">
        <f>(F93/E93)*100</f>
        <v>93.621904006716733</v>
      </c>
    </row>
    <row r="94" spans="1:8" s="28" customFormat="1" ht="33" customHeight="1">
      <c r="A94" s="114" t="s">
        <v>262</v>
      </c>
      <c r="B94" s="115">
        <v>6001</v>
      </c>
      <c r="C94" s="125">
        <f>C95-C96</f>
        <v>240104</v>
      </c>
      <c r="D94" s="125">
        <f>D95-D96</f>
        <v>389611</v>
      </c>
      <c r="E94" s="125">
        <f t="shared" ref="E94:F94" si="13">E95-E96</f>
        <v>529379</v>
      </c>
      <c r="F94" s="125">
        <f t="shared" si="13"/>
        <v>389611</v>
      </c>
      <c r="G94" s="124">
        <f t="shared" ref="G94:G106" si="14">F94-E94</f>
        <v>-139768</v>
      </c>
      <c r="H94" s="147">
        <f t="shared" ref="H94:H106" si="15">(F94/E94)*100</f>
        <v>73.597743771475635</v>
      </c>
    </row>
    <row r="95" spans="1:8" s="28" customFormat="1" ht="33" customHeight="1">
      <c r="A95" s="114" t="s">
        <v>263</v>
      </c>
      <c r="B95" s="115">
        <v>6002</v>
      </c>
      <c r="C95" s="125">
        <v>408426</v>
      </c>
      <c r="D95" s="362">
        <v>584100</v>
      </c>
      <c r="E95" s="189">
        <v>744479</v>
      </c>
      <c r="F95" s="125">
        <f>D95</f>
        <v>584100</v>
      </c>
      <c r="G95" s="124">
        <f>F95-E95</f>
        <v>-160379</v>
      </c>
      <c r="H95" s="147">
        <f>(F95/E95)*100</f>
        <v>78.457552194219048</v>
      </c>
    </row>
    <row r="96" spans="1:8" s="28" customFormat="1" ht="27" customHeight="1">
      <c r="A96" s="114" t="s">
        <v>264</v>
      </c>
      <c r="B96" s="115">
        <v>6003</v>
      </c>
      <c r="C96" s="125">
        <v>168322</v>
      </c>
      <c r="D96" s="362">
        <v>194489</v>
      </c>
      <c r="E96" s="189">
        <v>215100</v>
      </c>
      <c r="F96" s="125">
        <f t="shared" ref="F96:F98" si="16">D96</f>
        <v>194489</v>
      </c>
      <c r="G96" s="124">
        <f t="shared" si="14"/>
        <v>-20611</v>
      </c>
      <c r="H96" s="147">
        <f t="shared" si="15"/>
        <v>90.417945141794505</v>
      </c>
    </row>
    <row r="97" spans="1:8" s="28" customFormat="1" ht="33" customHeight="1">
      <c r="A97" s="114" t="s">
        <v>265</v>
      </c>
      <c r="B97" s="115">
        <v>6010</v>
      </c>
      <c r="C97" s="125">
        <v>32411</v>
      </c>
      <c r="D97" s="362">
        <v>47909</v>
      </c>
      <c r="E97" s="125">
        <v>41080</v>
      </c>
      <c r="F97" s="125">
        <f t="shared" si="16"/>
        <v>47909</v>
      </c>
      <c r="G97" s="124">
        <f t="shared" si="14"/>
        <v>6829</v>
      </c>
      <c r="H97" s="147">
        <f t="shared" si="15"/>
        <v>116.6236611489776</v>
      </c>
    </row>
    <row r="98" spans="1:8" s="28" customFormat="1" ht="33" customHeight="1">
      <c r="A98" s="114" t="s">
        <v>337</v>
      </c>
      <c r="B98" s="113">
        <v>6011</v>
      </c>
      <c r="C98" s="125">
        <v>2051</v>
      </c>
      <c r="D98" s="362">
        <v>4839</v>
      </c>
      <c r="E98" s="125">
        <v>920</v>
      </c>
      <c r="F98" s="125">
        <f t="shared" si="16"/>
        <v>4839</v>
      </c>
      <c r="G98" s="124">
        <f>F98-E98</f>
        <v>3919</v>
      </c>
      <c r="H98" s="147">
        <f>(F98/E98)*100</f>
        <v>525.97826086956525</v>
      </c>
    </row>
    <row r="99" spans="1:8" s="28" customFormat="1" ht="27.75" customHeight="1">
      <c r="A99" s="112" t="s">
        <v>146</v>
      </c>
      <c r="B99" s="116">
        <v>6020</v>
      </c>
      <c r="C99" s="126">
        <f>C93+C97</f>
        <v>304303</v>
      </c>
      <c r="D99" s="126">
        <f t="shared" ref="D99:F99" si="17">D93+D97</f>
        <v>449341</v>
      </c>
      <c r="E99" s="126">
        <f t="shared" si="17"/>
        <v>469860</v>
      </c>
      <c r="F99" s="126">
        <f t="shared" si="17"/>
        <v>449341</v>
      </c>
      <c r="G99" s="127">
        <f t="shared" si="14"/>
        <v>-20519</v>
      </c>
      <c r="H99" s="148">
        <f t="shared" si="15"/>
        <v>95.632954497084228</v>
      </c>
    </row>
    <row r="100" spans="1:8" s="28" customFormat="1" ht="33" customHeight="1">
      <c r="A100" s="114" t="s">
        <v>101</v>
      </c>
      <c r="B100" s="115">
        <v>6030</v>
      </c>
      <c r="C100" s="125">
        <v>236653</v>
      </c>
      <c r="D100" s="362">
        <v>290640</v>
      </c>
      <c r="E100" s="125">
        <v>326877</v>
      </c>
      <c r="F100" s="125">
        <f>D100</f>
        <v>290640</v>
      </c>
      <c r="G100" s="124">
        <f t="shared" si="14"/>
        <v>-36237</v>
      </c>
      <c r="H100" s="147">
        <f t="shared" si="15"/>
        <v>88.914178727778335</v>
      </c>
    </row>
    <row r="101" spans="1:8" s="28" customFormat="1" ht="33" customHeight="1">
      <c r="A101" s="114" t="s">
        <v>108</v>
      </c>
      <c r="B101" s="115">
        <v>6040</v>
      </c>
      <c r="C101" s="125"/>
      <c r="D101" s="362">
        <v>33750</v>
      </c>
      <c r="E101" s="125"/>
      <c r="F101" s="125">
        <f t="shared" ref="F101:F102" si="18">D101</f>
        <v>33750</v>
      </c>
      <c r="G101" s="124">
        <f t="shared" si="14"/>
        <v>33750</v>
      </c>
      <c r="H101" s="147"/>
    </row>
    <row r="102" spans="1:8" s="28" customFormat="1" ht="33" customHeight="1">
      <c r="A102" s="114" t="s">
        <v>109</v>
      </c>
      <c r="B102" s="113">
        <v>6050</v>
      </c>
      <c r="C102" s="125">
        <v>67650</v>
      </c>
      <c r="D102" s="362">
        <v>124951</v>
      </c>
      <c r="E102" s="125">
        <v>142983</v>
      </c>
      <c r="F102" s="125">
        <f t="shared" si="18"/>
        <v>124951</v>
      </c>
      <c r="G102" s="124">
        <f t="shared" si="14"/>
        <v>-18032</v>
      </c>
      <c r="H102" s="147">
        <f t="shared" si="15"/>
        <v>87.388710546008966</v>
      </c>
    </row>
    <row r="103" spans="1:8" s="28" customFormat="1" ht="27.75" customHeight="1">
      <c r="A103" s="112" t="s">
        <v>147</v>
      </c>
      <c r="B103" s="116">
        <v>6060</v>
      </c>
      <c r="C103" s="126">
        <f>SUM(C101:C102)</f>
        <v>67650</v>
      </c>
      <c r="D103" s="126">
        <f>SUM(D101:D102)</f>
        <v>158701</v>
      </c>
      <c r="E103" s="126">
        <f>SUM(E101:E102)</f>
        <v>142983</v>
      </c>
      <c r="F103" s="126">
        <f>SUM(F101:F102)</f>
        <v>158701</v>
      </c>
      <c r="G103" s="127">
        <f t="shared" si="14"/>
        <v>15718</v>
      </c>
      <c r="H103" s="148">
        <f t="shared" si="15"/>
        <v>110.99291524167209</v>
      </c>
    </row>
    <row r="104" spans="1:8" s="28" customFormat="1" ht="28.5" customHeight="1">
      <c r="A104" s="114" t="s">
        <v>325</v>
      </c>
      <c r="B104" s="115">
        <v>6070</v>
      </c>
      <c r="C104" s="110"/>
      <c r="D104" s="125"/>
      <c r="E104" s="125"/>
      <c r="F104" s="125"/>
      <c r="G104" s="124">
        <f t="shared" si="14"/>
        <v>0</v>
      </c>
      <c r="H104" s="148"/>
    </row>
    <row r="105" spans="1:8" s="28" customFormat="1" ht="28.5" customHeight="1">
      <c r="A105" s="114" t="s">
        <v>326</v>
      </c>
      <c r="B105" s="113">
        <v>6080</v>
      </c>
      <c r="C105" s="125"/>
      <c r="D105" s="125"/>
      <c r="E105" s="125">
        <v>80857</v>
      </c>
      <c r="F105" s="125"/>
      <c r="G105" s="124">
        <f t="shared" si="14"/>
        <v>-80857</v>
      </c>
      <c r="H105" s="147">
        <f t="shared" si="15"/>
        <v>0</v>
      </c>
    </row>
    <row r="106" spans="1:8" s="28" customFormat="1" ht="27.75" customHeight="1">
      <c r="A106" s="112" t="s">
        <v>327</v>
      </c>
      <c r="B106" s="116">
        <v>6090</v>
      </c>
      <c r="C106" s="126">
        <f>C100+C103</f>
        <v>304303</v>
      </c>
      <c r="D106" s="126">
        <f>D100+D103</f>
        <v>449341</v>
      </c>
      <c r="E106" s="126">
        <f>E100+E103</f>
        <v>469860</v>
      </c>
      <c r="F106" s="126">
        <f>F100+F103</f>
        <v>449341</v>
      </c>
      <c r="G106" s="127">
        <f t="shared" si="14"/>
        <v>-20519</v>
      </c>
      <c r="H106" s="148">
        <f t="shared" si="15"/>
        <v>95.632954497084228</v>
      </c>
    </row>
    <row r="107" spans="1:8" s="28" customFormat="1" ht="27.75" customHeight="1" thickBot="1">
      <c r="A107" s="112" t="s">
        <v>328</v>
      </c>
      <c r="B107" s="117">
        <v>6099</v>
      </c>
      <c r="C107" s="111">
        <f>C99-C106</f>
        <v>0</v>
      </c>
      <c r="D107" s="111">
        <f>D99-D106</f>
        <v>0</v>
      </c>
      <c r="E107" s="111">
        <f>E99-E106</f>
        <v>0</v>
      </c>
      <c r="F107" s="111">
        <f>F99-F106</f>
        <v>0</v>
      </c>
      <c r="G107" s="103">
        <f t="shared" ref="G107" si="19">D107-C107</f>
        <v>0</v>
      </c>
      <c r="H107" s="104"/>
    </row>
    <row r="108" spans="1:8" s="28" customFormat="1" ht="26.25" customHeight="1" thickBot="1">
      <c r="A108" s="456" t="s">
        <v>242</v>
      </c>
      <c r="B108" s="457"/>
      <c r="C108" s="457"/>
      <c r="D108" s="457"/>
      <c r="E108" s="457"/>
      <c r="F108" s="457"/>
      <c r="G108" s="457"/>
      <c r="H108" s="458"/>
    </row>
    <row r="109" spans="1:8" s="28" customFormat="1" ht="27.75" customHeight="1">
      <c r="A109" s="112" t="s">
        <v>283</v>
      </c>
      <c r="B109" s="116" t="s">
        <v>243</v>
      </c>
      <c r="C109" s="363">
        <f>SUM(C110:C112)</f>
        <v>500</v>
      </c>
      <c r="D109" s="126">
        <f>SUM(D110:D112)</f>
        <v>130753.1</v>
      </c>
      <c r="E109" s="144">
        <f>SUM(E110:E112)</f>
        <v>128253.1</v>
      </c>
      <c r="F109" s="144">
        <f>SUM(F110:F112)</f>
        <v>130753.1</v>
      </c>
      <c r="G109" s="127">
        <f t="shared" ref="G109:G116" si="20">F109-E109</f>
        <v>2500</v>
      </c>
      <c r="H109" s="148">
        <f t="shared" ref="H109:H118" si="21">(F109/E109)*100</f>
        <v>101.9492706219187</v>
      </c>
    </row>
    <row r="110" spans="1:8" s="28" customFormat="1" ht="30" customHeight="1">
      <c r="A110" s="114" t="s">
        <v>298</v>
      </c>
      <c r="B110" s="115" t="s">
        <v>245</v>
      </c>
      <c r="C110" s="364"/>
      <c r="D110" s="362">
        <v>124753.1</v>
      </c>
      <c r="E110" s="125">
        <v>124753.1</v>
      </c>
      <c r="F110" s="125">
        <f>D110</f>
        <v>124753.1</v>
      </c>
      <c r="G110" s="124">
        <f t="shared" si="20"/>
        <v>0</v>
      </c>
      <c r="H110" s="148">
        <f t="shared" si="21"/>
        <v>100</v>
      </c>
    </row>
    <row r="111" spans="1:8" s="28" customFormat="1" ht="29.25" customHeight="1">
      <c r="A111" s="114" t="s">
        <v>299</v>
      </c>
      <c r="B111" s="115" t="s">
        <v>246</v>
      </c>
      <c r="C111" s="110">
        <v>500</v>
      </c>
      <c r="D111" s="362">
        <v>6000</v>
      </c>
      <c r="E111" s="125">
        <v>3500</v>
      </c>
      <c r="F111" s="125">
        <f>D111</f>
        <v>6000</v>
      </c>
      <c r="G111" s="103">
        <f t="shared" si="20"/>
        <v>2500</v>
      </c>
      <c r="H111" s="148">
        <f t="shared" si="21"/>
        <v>171.42857142857142</v>
      </c>
    </row>
    <row r="112" spans="1:8" s="28" customFormat="1" ht="33" customHeight="1">
      <c r="A112" s="114" t="s">
        <v>300</v>
      </c>
      <c r="B112" s="115" t="s">
        <v>247</v>
      </c>
      <c r="C112" s="110"/>
      <c r="D112" s="125"/>
      <c r="E112" s="125">
        <f>'6.1. Інша інфо_1'!F71</f>
        <v>0</v>
      </c>
      <c r="F112" s="125">
        <f>'6.1. Інша інфо_1'!H71</f>
        <v>0</v>
      </c>
      <c r="G112" s="103">
        <f t="shared" si="20"/>
        <v>0</v>
      </c>
      <c r="H112" s="104"/>
    </row>
    <row r="113" spans="1:8" s="28" customFormat="1" ht="27.75" customHeight="1">
      <c r="A113" s="112" t="s">
        <v>284</v>
      </c>
      <c r="B113" s="116" t="s">
        <v>244</v>
      </c>
      <c r="C113" s="126">
        <f>SUM(C114:C116)</f>
        <v>4698</v>
      </c>
      <c r="D113" s="406">
        <f>SUM(D114:D116)</f>
        <v>54073.1</v>
      </c>
      <c r="E113" s="126">
        <f>SUM(E114:E116)</f>
        <v>54072.6</v>
      </c>
      <c r="F113" s="126">
        <f>SUM(F114:F116)</f>
        <v>54073.1</v>
      </c>
      <c r="G113" s="127">
        <f t="shared" si="20"/>
        <v>0.5</v>
      </c>
      <c r="H113" s="148">
        <f t="shared" si="21"/>
        <v>100.00092468274136</v>
      </c>
    </row>
    <row r="114" spans="1:8" s="28" customFormat="1" ht="29.25" customHeight="1">
      <c r="A114" s="114" t="s">
        <v>298</v>
      </c>
      <c r="B114" s="115" t="s">
        <v>248</v>
      </c>
      <c r="C114" s="125">
        <v>2500</v>
      </c>
      <c r="D114" s="410">
        <v>48370</v>
      </c>
      <c r="E114" s="125">
        <v>48370.400000000001</v>
      </c>
      <c r="F114" s="125">
        <f>D114</f>
        <v>48370</v>
      </c>
      <c r="G114" s="124">
        <f t="shared" si="20"/>
        <v>-0.40000000000145519</v>
      </c>
      <c r="H114" s="148">
        <f t="shared" si="21"/>
        <v>99.999173047979752</v>
      </c>
    </row>
    <row r="115" spans="1:8" s="28" customFormat="1" ht="28.5" customHeight="1">
      <c r="A115" s="114" t="s">
        <v>299</v>
      </c>
      <c r="B115" s="115" t="s">
        <v>249</v>
      </c>
      <c r="C115" s="110"/>
      <c r="D115" s="410">
        <v>3500</v>
      </c>
      <c r="E115" s="110">
        <v>3500</v>
      </c>
      <c r="F115" s="125">
        <f>D115</f>
        <v>3500</v>
      </c>
      <c r="G115" s="103">
        <f t="shared" si="20"/>
        <v>0</v>
      </c>
      <c r="H115" s="148">
        <f t="shared" si="21"/>
        <v>100</v>
      </c>
    </row>
    <row r="116" spans="1:8" s="28" customFormat="1" ht="29.25" customHeight="1" thickBot="1">
      <c r="A116" s="114" t="s">
        <v>300</v>
      </c>
      <c r="B116" s="115" t="s">
        <v>250</v>
      </c>
      <c r="C116" s="110">
        <v>2198</v>
      </c>
      <c r="D116" s="410">
        <v>2203.1</v>
      </c>
      <c r="E116" s="110">
        <v>2202.1999999999998</v>
      </c>
      <c r="F116" s="125">
        <f>D116</f>
        <v>2203.1</v>
      </c>
      <c r="G116" s="103">
        <f t="shared" si="20"/>
        <v>0.90000000000009095</v>
      </c>
      <c r="H116" s="148">
        <f t="shared" si="21"/>
        <v>100.04086822268641</v>
      </c>
    </row>
    <row r="117" spans="1:8" s="28" customFormat="1" ht="26.25" customHeight="1" thickBot="1">
      <c r="A117" s="456" t="s">
        <v>251</v>
      </c>
      <c r="B117" s="457"/>
      <c r="C117" s="457"/>
      <c r="D117" s="457"/>
      <c r="E117" s="457"/>
      <c r="F117" s="457"/>
      <c r="G117" s="457"/>
      <c r="H117" s="458"/>
    </row>
    <row r="118" spans="1:8" s="28" customFormat="1" ht="64.5" customHeight="1">
      <c r="A118" s="105" t="s">
        <v>409</v>
      </c>
      <c r="B118" s="118" t="s">
        <v>252</v>
      </c>
      <c r="C118" s="119">
        <f>SUM(C119:C121)</f>
        <v>1542</v>
      </c>
      <c r="D118" s="119">
        <f>SUM(D119:D121)</f>
        <v>1499</v>
      </c>
      <c r="E118" s="119">
        <f>SUM(E119:E121)</f>
        <v>1655</v>
      </c>
      <c r="F118" s="119">
        <f>SUM(F119:F121)</f>
        <v>1499</v>
      </c>
      <c r="G118" s="119">
        <f>F118-E118</f>
        <v>-156</v>
      </c>
      <c r="H118" s="149">
        <f t="shared" si="21"/>
        <v>90.57401812688822</v>
      </c>
    </row>
    <row r="119" spans="1:8" s="28" customFormat="1" ht="27" customHeight="1">
      <c r="A119" s="114" t="s">
        <v>157</v>
      </c>
      <c r="B119" s="115" t="s">
        <v>253</v>
      </c>
      <c r="C119" s="365">
        <f>'6.1. Інша інфо_1'!C11</f>
        <v>1</v>
      </c>
      <c r="D119" s="365">
        <f>'6.1. Інша інфо_1'!I11</f>
        <v>1</v>
      </c>
      <c r="E119" s="365">
        <f>'6.1. Інша інфо_1'!F11</f>
        <v>1</v>
      </c>
      <c r="F119" s="365">
        <f>'6.1. Інша інфо_1'!I11</f>
        <v>1</v>
      </c>
      <c r="G119" s="119">
        <f>F119-E119</f>
        <v>0</v>
      </c>
      <c r="H119" s="150">
        <f>(F119/E119)*100</f>
        <v>100</v>
      </c>
    </row>
    <row r="120" spans="1:8" s="28" customFormat="1" ht="28.5" customHeight="1">
      <c r="A120" s="114" t="s">
        <v>156</v>
      </c>
      <c r="B120" s="115" t="s">
        <v>254</v>
      </c>
      <c r="C120" s="365">
        <f>'6.1. Інша інфо_1'!C12</f>
        <v>254</v>
      </c>
      <c r="D120" s="365">
        <f>'6.1. Інша інфо_1'!I12</f>
        <v>252</v>
      </c>
      <c r="E120" s="365">
        <f>'6.1. Інша інфо_1'!F12</f>
        <v>257</v>
      </c>
      <c r="F120" s="365">
        <f>'6.1. Інша інфо_1'!I12</f>
        <v>252</v>
      </c>
      <c r="G120" s="189">
        <f t="shared" ref="G120:G126" si="22">F120-E120</f>
        <v>-5</v>
      </c>
      <c r="H120" s="150">
        <f t="shared" ref="H120:H126" si="23">(F120/E120)*100</f>
        <v>98.054474708171199</v>
      </c>
    </row>
    <row r="121" spans="1:8" s="28" customFormat="1" ht="27" customHeight="1">
      <c r="A121" s="114" t="s">
        <v>158</v>
      </c>
      <c r="B121" s="115" t="s">
        <v>255</v>
      </c>
      <c r="C121" s="365">
        <f>'6.1. Інша інфо_1'!C13</f>
        <v>1287</v>
      </c>
      <c r="D121" s="365">
        <f>'6.1. Інша інфо_1'!I13</f>
        <v>1246</v>
      </c>
      <c r="E121" s="365">
        <f>'6.1. Інша інфо_1'!F13</f>
        <v>1397</v>
      </c>
      <c r="F121" s="365">
        <f>'6.1. Інша інфо_1'!I13</f>
        <v>1246</v>
      </c>
      <c r="G121" s="189">
        <f t="shared" si="22"/>
        <v>-151</v>
      </c>
      <c r="H121" s="150">
        <f t="shared" si="23"/>
        <v>89.191123836793125</v>
      </c>
    </row>
    <row r="122" spans="1:8" s="28" customFormat="1" ht="27.75" customHeight="1">
      <c r="A122" s="112" t="s">
        <v>5</v>
      </c>
      <c r="B122" s="116" t="s">
        <v>256</v>
      </c>
      <c r="C122" s="126">
        <f>C54</f>
        <v>260418</v>
      </c>
      <c r="D122" s="126">
        <f>'6.1. Інша інфо_1'!I18</f>
        <v>295481</v>
      </c>
      <c r="E122" s="126">
        <f>E54</f>
        <v>335389</v>
      </c>
      <c r="F122" s="126">
        <f>F54</f>
        <v>295481</v>
      </c>
      <c r="G122" s="127">
        <f t="shared" si="22"/>
        <v>-39908</v>
      </c>
      <c r="H122" s="148">
        <f t="shared" si="23"/>
        <v>88.100981248639641</v>
      </c>
    </row>
    <row r="123" spans="1:8" s="28" customFormat="1" ht="44.25" customHeight="1">
      <c r="A123" s="105" t="s">
        <v>422</v>
      </c>
      <c r="B123" s="118" t="s">
        <v>257</v>
      </c>
      <c r="C123" s="127">
        <f>'6.1. Інша інфо_1'!C22:E22</f>
        <v>14074</v>
      </c>
      <c r="D123" s="127">
        <f>D122/D118/12*1000</f>
        <v>16426.562152546143</v>
      </c>
      <c r="E123" s="127">
        <f>'6.1. Інша інфо_1'!F22</f>
        <v>16888</v>
      </c>
      <c r="F123" s="51">
        <f>D123</f>
        <v>16426.562152546143</v>
      </c>
      <c r="G123" s="51">
        <f t="shared" si="22"/>
        <v>-461.4378474538571</v>
      </c>
      <c r="H123" s="142">
        <f t="shared" si="23"/>
        <v>97.26765841157119</v>
      </c>
    </row>
    <row r="124" spans="1:8" s="28" customFormat="1" ht="28.5" customHeight="1">
      <c r="A124" s="114" t="s">
        <v>157</v>
      </c>
      <c r="B124" s="115" t="s">
        <v>258</v>
      </c>
      <c r="C124" s="125">
        <f>'6.1. Інша інфо_1'!C23:E23</f>
        <v>88825</v>
      </c>
      <c r="D124" s="125">
        <f>'6.1. Інша інфо_1'!I23</f>
        <v>82333</v>
      </c>
      <c r="E124" s="125">
        <f>'6.1. Інша інфо_1'!F23</f>
        <v>120050</v>
      </c>
      <c r="F124" s="143">
        <f>'6.1. Інша інфо_1'!I23</f>
        <v>82333</v>
      </c>
      <c r="G124" s="54">
        <f t="shared" si="22"/>
        <v>-37717</v>
      </c>
      <c r="H124" s="141">
        <f t="shared" si="23"/>
        <v>68.582257392753021</v>
      </c>
    </row>
    <row r="125" spans="1:8" s="28" customFormat="1" ht="30" customHeight="1">
      <c r="A125" s="114" t="s">
        <v>156</v>
      </c>
      <c r="B125" s="115" t="s">
        <v>259</v>
      </c>
      <c r="C125" s="125">
        <f>'6.1. Інша інфо_1'!C24:E24</f>
        <v>15372</v>
      </c>
      <c r="D125" s="125">
        <f>'6.1. Інша інфо_1'!I24</f>
        <v>18103</v>
      </c>
      <c r="E125" s="125">
        <f>'6.1. Інша інфо_1'!F24</f>
        <v>23028</v>
      </c>
      <c r="F125" s="143">
        <f>'6.1. Інша інфо_1'!I24</f>
        <v>18103</v>
      </c>
      <c r="G125" s="54">
        <f t="shared" si="22"/>
        <v>-4925</v>
      </c>
      <c r="H125" s="141">
        <f t="shared" si="23"/>
        <v>78.61299287823519</v>
      </c>
    </row>
    <row r="126" spans="1:8" s="28" customFormat="1" ht="33" customHeight="1">
      <c r="A126" s="114" t="s">
        <v>158</v>
      </c>
      <c r="B126" s="113" t="s">
        <v>260</v>
      </c>
      <c r="C126" s="125">
        <f>'6.1. Інша інфо_1'!C25:E25</f>
        <v>13759</v>
      </c>
      <c r="D126" s="125">
        <f>'6.1. Інша інфо_1'!I25</f>
        <v>16035</v>
      </c>
      <c r="E126" s="125">
        <f>'6.1. Інша інфо_1'!F25</f>
        <v>15684</v>
      </c>
      <c r="F126" s="143">
        <f>'6.1. Інша інфо_1'!I25</f>
        <v>16035</v>
      </c>
      <c r="G126" s="54">
        <f t="shared" si="22"/>
        <v>351</v>
      </c>
      <c r="H126" s="141">
        <f t="shared" si="23"/>
        <v>102.23794950267788</v>
      </c>
    </row>
    <row r="127" spans="1:8" s="28" customFormat="1" ht="33" customHeight="1">
      <c r="A127" s="184"/>
      <c r="B127" s="185"/>
      <c r="C127" s="186"/>
      <c r="D127" s="186"/>
      <c r="E127" s="186"/>
      <c r="F127" s="187"/>
      <c r="G127" s="187"/>
      <c r="H127" s="188"/>
    </row>
    <row r="128" spans="1:8" s="28" customFormat="1" ht="33" customHeight="1">
      <c r="A128" s="184"/>
      <c r="B128" s="185"/>
      <c r="C128" s="186"/>
      <c r="D128" s="186"/>
      <c r="E128" s="186"/>
      <c r="F128" s="187"/>
      <c r="G128" s="187"/>
      <c r="H128" s="188"/>
    </row>
    <row r="129" spans="1:8" s="28" customFormat="1" ht="33" customHeight="1">
      <c r="A129" s="184"/>
      <c r="B129" s="185"/>
      <c r="C129" s="186"/>
      <c r="D129" s="186"/>
      <c r="E129" s="186"/>
      <c r="F129" s="187"/>
      <c r="G129" s="187"/>
      <c r="H129" s="188"/>
    </row>
    <row r="130" spans="1:8" ht="42.6" customHeight="1">
      <c r="A130" s="378" t="s">
        <v>554</v>
      </c>
      <c r="B130" s="248"/>
      <c r="C130" s="454"/>
      <c r="D130" s="454"/>
      <c r="E130" s="249"/>
      <c r="F130" s="455" t="s">
        <v>555</v>
      </c>
      <c r="G130" s="455"/>
      <c r="H130" s="96"/>
    </row>
    <row r="131" spans="1:8" s="347" customFormat="1" ht="15.6" hidden="1" customHeight="1">
      <c r="A131" s="171" t="s">
        <v>360</v>
      </c>
      <c r="B131" s="170"/>
      <c r="C131" s="444" t="s">
        <v>556</v>
      </c>
      <c r="D131" s="444"/>
      <c r="E131" s="170"/>
      <c r="F131" s="445" t="s">
        <v>76</v>
      </c>
      <c r="G131" s="445"/>
    </row>
    <row r="132" spans="1:8">
      <c r="A132" s="180"/>
    </row>
    <row r="133" spans="1:8">
      <c r="A133" s="180"/>
    </row>
    <row r="134" spans="1:8">
      <c r="A134" s="180"/>
    </row>
    <row r="135" spans="1:8">
      <c r="A135" s="180"/>
    </row>
    <row r="136" spans="1:8">
      <c r="A136" s="180"/>
    </row>
    <row r="137" spans="1:8">
      <c r="A137" s="180"/>
    </row>
    <row r="138" spans="1:8">
      <c r="A138" s="180"/>
    </row>
    <row r="139" spans="1:8">
      <c r="A139" s="180"/>
    </row>
    <row r="140" spans="1:8">
      <c r="A140" s="180"/>
    </row>
    <row r="141" spans="1:8">
      <c r="A141" s="180"/>
    </row>
    <row r="142" spans="1:8">
      <c r="A142" s="180"/>
    </row>
    <row r="143" spans="1:8">
      <c r="A143" s="180"/>
    </row>
    <row r="144" spans="1:8">
      <c r="A144" s="180"/>
    </row>
    <row r="145" spans="1:1">
      <c r="A145" s="180"/>
    </row>
    <row r="146" spans="1:1">
      <c r="A146" s="180"/>
    </row>
    <row r="147" spans="1:1">
      <c r="A147" s="180"/>
    </row>
    <row r="148" spans="1:1">
      <c r="A148" s="180"/>
    </row>
    <row r="149" spans="1:1">
      <c r="A149" s="180"/>
    </row>
    <row r="150" spans="1:1">
      <c r="A150" s="180"/>
    </row>
    <row r="151" spans="1:1">
      <c r="A151" s="180"/>
    </row>
    <row r="152" spans="1:1">
      <c r="A152" s="180"/>
    </row>
    <row r="153" spans="1:1">
      <c r="A153" s="180"/>
    </row>
    <row r="154" spans="1:1">
      <c r="A154" s="180"/>
    </row>
    <row r="155" spans="1:1">
      <c r="A155" s="180"/>
    </row>
    <row r="156" spans="1:1">
      <c r="A156" s="180"/>
    </row>
    <row r="157" spans="1:1">
      <c r="A157" s="180"/>
    </row>
    <row r="158" spans="1:1">
      <c r="A158" s="180"/>
    </row>
    <row r="159" spans="1:1">
      <c r="A159" s="180"/>
    </row>
    <row r="160" spans="1:1">
      <c r="A160" s="180"/>
    </row>
    <row r="161" spans="1:1">
      <c r="A161" s="180"/>
    </row>
    <row r="162" spans="1:1">
      <c r="A162" s="180"/>
    </row>
    <row r="163" spans="1:1">
      <c r="A163" s="180"/>
    </row>
    <row r="164" spans="1:1">
      <c r="A164" s="180"/>
    </row>
    <row r="165" spans="1:1">
      <c r="A165" s="180"/>
    </row>
    <row r="166" spans="1:1">
      <c r="A166" s="180"/>
    </row>
    <row r="167" spans="1:1">
      <c r="A167" s="180"/>
    </row>
    <row r="168" spans="1:1">
      <c r="A168" s="180"/>
    </row>
    <row r="169" spans="1:1">
      <c r="A169" s="180"/>
    </row>
    <row r="170" spans="1:1">
      <c r="A170" s="180"/>
    </row>
    <row r="171" spans="1:1">
      <c r="A171" s="180"/>
    </row>
    <row r="172" spans="1:1">
      <c r="A172" s="180"/>
    </row>
    <row r="173" spans="1:1">
      <c r="A173" s="180"/>
    </row>
    <row r="174" spans="1:1">
      <c r="A174" s="180"/>
    </row>
    <row r="175" spans="1:1">
      <c r="A175" s="180"/>
    </row>
    <row r="176" spans="1:1">
      <c r="A176" s="180"/>
    </row>
    <row r="177" spans="1:1">
      <c r="A177" s="180"/>
    </row>
    <row r="178" spans="1:1">
      <c r="A178" s="180"/>
    </row>
    <row r="179" spans="1:1">
      <c r="A179" s="180"/>
    </row>
    <row r="180" spans="1:1">
      <c r="A180" s="180"/>
    </row>
    <row r="181" spans="1:1">
      <c r="A181" s="180"/>
    </row>
    <row r="182" spans="1:1">
      <c r="A182" s="180"/>
    </row>
    <row r="183" spans="1:1">
      <c r="A183" s="180"/>
    </row>
    <row r="184" spans="1:1">
      <c r="A184" s="180"/>
    </row>
    <row r="185" spans="1:1">
      <c r="A185" s="180"/>
    </row>
    <row r="186" spans="1:1">
      <c r="A186" s="180"/>
    </row>
    <row r="187" spans="1:1">
      <c r="A187" s="180"/>
    </row>
    <row r="188" spans="1:1">
      <c r="A188" s="180"/>
    </row>
    <row r="189" spans="1:1">
      <c r="A189" s="180"/>
    </row>
    <row r="190" spans="1:1">
      <c r="A190" s="180"/>
    </row>
    <row r="191" spans="1:1">
      <c r="A191" s="180"/>
    </row>
    <row r="192" spans="1:1">
      <c r="A192" s="180"/>
    </row>
    <row r="193" spans="1:1">
      <c r="A193" s="180"/>
    </row>
    <row r="194" spans="1:1">
      <c r="A194" s="180"/>
    </row>
    <row r="195" spans="1:1">
      <c r="A195" s="180"/>
    </row>
    <row r="196" spans="1:1">
      <c r="A196" s="180"/>
    </row>
    <row r="197" spans="1:1">
      <c r="A197" s="180"/>
    </row>
    <row r="198" spans="1:1">
      <c r="A198" s="180"/>
    </row>
    <row r="199" spans="1:1">
      <c r="A199" s="180"/>
    </row>
    <row r="200" spans="1:1">
      <c r="A200" s="180"/>
    </row>
    <row r="201" spans="1:1">
      <c r="A201" s="180"/>
    </row>
    <row r="202" spans="1:1">
      <c r="A202" s="180"/>
    </row>
    <row r="203" spans="1:1">
      <c r="A203" s="180"/>
    </row>
    <row r="204" spans="1:1">
      <c r="A204" s="180"/>
    </row>
    <row r="205" spans="1:1">
      <c r="A205" s="180"/>
    </row>
    <row r="206" spans="1:1">
      <c r="A206" s="180"/>
    </row>
    <row r="207" spans="1:1">
      <c r="A207" s="180"/>
    </row>
    <row r="208" spans="1:1">
      <c r="A208" s="180"/>
    </row>
    <row r="209" spans="1:1">
      <c r="A209" s="180"/>
    </row>
    <row r="210" spans="1:1">
      <c r="A210" s="180"/>
    </row>
    <row r="211" spans="1:1">
      <c r="A211" s="180"/>
    </row>
    <row r="212" spans="1:1">
      <c r="A212" s="180"/>
    </row>
    <row r="213" spans="1:1">
      <c r="A213" s="180"/>
    </row>
    <row r="214" spans="1:1">
      <c r="A214" s="180"/>
    </row>
    <row r="215" spans="1:1">
      <c r="A215" s="180"/>
    </row>
    <row r="216" spans="1:1">
      <c r="A216" s="180"/>
    </row>
    <row r="217" spans="1:1">
      <c r="A217" s="180"/>
    </row>
    <row r="218" spans="1:1">
      <c r="A218" s="180"/>
    </row>
    <row r="219" spans="1:1">
      <c r="A219" s="180"/>
    </row>
    <row r="220" spans="1:1">
      <c r="A220" s="180"/>
    </row>
    <row r="221" spans="1:1">
      <c r="A221" s="180"/>
    </row>
    <row r="222" spans="1:1">
      <c r="A222" s="180"/>
    </row>
    <row r="223" spans="1:1">
      <c r="A223" s="180"/>
    </row>
    <row r="224" spans="1:1">
      <c r="A224" s="180"/>
    </row>
    <row r="225" spans="1:1">
      <c r="A225" s="180"/>
    </row>
    <row r="226" spans="1:1">
      <c r="A226" s="180"/>
    </row>
    <row r="227" spans="1:1">
      <c r="A227" s="180"/>
    </row>
    <row r="228" spans="1:1">
      <c r="A228" s="180"/>
    </row>
    <row r="229" spans="1:1">
      <c r="A229" s="180"/>
    </row>
    <row r="230" spans="1:1">
      <c r="A230" s="180"/>
    </row>
    <row r="231" spans="1:1">
      <c r="A231" s="180"/>
    </row>
    <row r="232" spans="1:1">
      <c r="A232" s="180"/>
    </row>
    <row r="233" spans="1:1">
      <c r="A233" s="180"/>
    </row>
    <row r="234" spans="1:1">
      <c r="A234" s="180"/>
    </row>
    <row r="235" spans="1:1">
      <c r="A235" s="180"/>
    </row>
    <row r="236" spans="1:1">
      <c r="A236" s="180"/>
    </row>
    <row r="237" spans="1:1">
      <c r="A237" s="180"/>
    </row>
    <row r="238" spans="1:1">
      <c r="A238" s="180"/>
    </row>
    <row r="239" spans="1:1">
      <c r="A239" s="180"/>
    </row>
    <row r="240" spans="1:1">
      <c r="A240" s="180"/>
    </row>
    <row r="241" spans="1:1">
      <c r="A241" s="180"/>
    </row>
    <row r="242" spans="1:1">
      <c r="A242" s="180"/>
    </row>
    <row r="243" spans="1:1">
      <c r="A243" s="180"/>
    </row>
    <row r="244" spans="1:1">
      <c r="A244" s="180"/>
    </row>
    <row r="245" spans="1:1">
      <c r="A245" s="180"/>
    </row>
    <row r="246" spans="1:1">
      <c r="A246" s="180"/>
    </row>
    <row r="247" spans="1:1">
      <c r="A247" s="180"/>
    </row>
    <row r="248" spans="1:1">
      <c r="A248" s="180"/>
    </row>
    <row r="249" spans="1:1">
      <c r="A249" s="180"/>
    </row>
    <row r="250" spans="1:1">
      <c r="A250" s="180"/>
    </row>
    <row r="251" spans="1:1">
      <c r="A251" s="180"/>
    </row>
    <row r="252" spans="1:1">
      <c r="A252" s="180"/>
    </row>
    <row r="253" spans="1:1">
      <c r="A253" s="180"/>
    </row>
    <row r="254" spans="1:1">
      <c r="A254" s="180"/>
    </row>
    <row r="255" spans="1:1">
      <c r="A255" s="180"/>
    </row>
    <row r="256" spans="1:1">
      <c r="A256" s="180"/>
    </row>
    <row r="257" spans="1:1">
      <c r="A257" s="180"/>
    </row>
    <row r="258" spans="1:1">
      <c r="A258" s="180"/>
    </row>
    <row r="259" spans="1:1">
      <c r="A259" s="180"/>
    </row>
    <row r="260" spans="1:1">
      <c r="A260" s="180"/>
    </row>
    <row r="261" spans="1:1">
      <c r="A261" s="180"/>
    </row>
    <row r="262" spans="1:1">
      <c r="A262" s="180"/>
    </row>
    <row r="263" spans="1:1">
      <c r="A263" s="180"/>
    </row>
    <row r="264" spans="1:1">
      <c r="A264" s="180"/>
    </row>
    <row r="265" spans="1:1">
      <c r="A265" s="180"/>
    </row>
    <row r="266" spans="1:1">
      <c r="A266" s="180"/>
    </row>
    <row r="267" spans="1:1">
      <c r="A267" s="180"/>
    </row>
    <row r="268" spans="1:1">
      <c r="A268" s="180"/>
    </row>
    <row r="269" spans="1:1">
      <c r="A269" s="180"/>
    </row>
    <row r="270" spans="1:1">
      <c r="A270" s="180"/>
    </row>
    <row r="271" spans="1:1">
      <c r="A271" s="180"/>
    </row>
    <row r="272" spans="1:1">
      <c r="A272" s="180"/>
    </row>
    <row r="273" spans="1:1">
      <c r="A273" s="180"/>
    </row>
    <row r="274" spans="1:1">
      <c r="A274" s="180"/>
    </row>
    <row r="275" spans="1:1">
      <c r="A275" s="180"/>
    </row>
    <row r="276" spans="1:1">
      <c r="A276" s="180"/>
    </row>
    <row r="277" spans="1:1">
      <c r="A277" s="180"/>
    </row>
    <row r="278" spans="1:1">
      <c r="A278" s="180"/>
    </row>
    <row r="279" spans="1:1">
      <c r="A279" s="180"/>
    </row>
    <row r="280" spans="1:1">
      <c r="A280" s="180"/>
    </row>
    <row r="281" spans="1:1">
      <c r="A281" s="180"/>
    </row>
    <row r="282" spans="1:1">
      <c r="A282" s="180"/>
    </row>
    <row r="283" spans="1:1">
      <c r="A283" s="180"/>
    </row>
    <row r="284" spans="1:1">
      <c r="A284" s="180"/>
    </row>
    <row r="285" spans="1:1">
      <c r="A285" s="180"/>
    </row>
    <row r="286" spans="1:1">
      <c r="A286" s="180"/>
    </row>
    <row r="287" spans="1:1">
      <c r="A287" s="180"/>
    </row>
    <row r="288" spans="1:1">
      <c r="A288" s="180"/>
    </row>
    <row r="289" spans="1:1">
      <c r="A289" s="180"/>
    </row>
    <row r="290" spans="1:1">
      <c r="A290" s="181"/>
    </row>
    <row r="291" spans="1:1">
      <c r="A291" s="181"/>
    </row>
    <row r="292" spans="1:1">
      <c r="A292" s="181"/>
    </row>
    <row r="293" spans="1:1">
      <c r="A293" s="181"/>
    </row>
    <row r="294" spans="1:1">
      <c r="A294" s="181"/>
    </row>
    <row r="295" spans="1:1">
      <c r="A295" s="181"/>
    </row>
    <row r="296" spans="1:1">
      <c r="A296" s="181"/>
    </row>
    <row r="297" spans="1:1">
      <c r="A297" s="181"/>
    </row>
    <row r="298" spans="1:1">
      <c r="A298" s="181"/>
    </row>
    <row r="299" spans="1:1">
      <c r="A299" s="181"/>
    </row>
    <row r="300" spans="1:1">
      <c r="A300" s="181"/>
    </row>
    <row r="301" spans="1:1">
      <c r="A301" s="181"/>
    </row>
    <row r="302" spans="1:1">
      <c r="A302" s="181"/>
    </row>
    <row r="303" spans="1:1">
      <c r="A303" s="181"/>
    </row>
    <row r="304" spans="1:1">
      <c r="A304" s="181"/>
    </row>
    <row r="305" spans="1:1">
      <c r="A305" s="181"/>
    </row>
    <row r="306" spans="1:1">
      <c r="A306" s="181"/>
    </row>
    <row r="307" spans="1:1">
      <c r="A307" s="181"/>
    </row>
    <row r="308" spans="1:1">
      <c r="A308" s="181"/>
    </row>
    <row r="309" spans="1:1">
      <c r="A309" s="181"/>
    </row>
    <row r="310" spans="1:1">
      <c r="A310" s="181"/>
    </row>
    <row r="311" spans="1:1">
      <c r="A311" s="181"/>
    </row>
    <row r="312" spans="1:1">
      <c r="A312" s="181"/>
    </row>
    <row r="313" spans="1:1">
      <c r="A313" s="181"/>
    </row>
    <row r="314" spans="1:1">
      <c r="A314" s="181"/>
    </row>
    <row r="315" spans="1:1">
      <c r="A315" s="181"/>
    </row>
    <row r="316" spans="1:1">
      <c r="A316" s="181"/>
    </row>
    <row r="317" spans="1:1">
      <c r="A317" s="181"/>
    </row>
    <row r="318" spans="1:1">
      <c r="A318" s="181"/>
    </row>
    <row r="319" spans="1:1">
      <c r="A319" s="181"/>
    </row>
    <row r="320" spans="1:1">
      <c r="A320" s="181"/>
    </row>
    <row r="321" spans="1:1">
      <c r="A321" s="181"/>
    </row>
    <row r="322" spans="1:1">
      <c r="A322" s="181"/>
    </row>
    <row r="323" spans="1:1">
      <c r="A323" s="181"/>
    </row>
    <row r="324" spans="1:1">
      <c r="A324" s="181"/>
    </row>
    <row r="325" spans="1:1">
      <c r="A325" s="181"/>
    </row>
    <row r="326" spans="1:1">
      <c r="A326" s="181"/>
    </row>
    <row r="327" spans="1:1">
      <c r="A327" s="181"/>
    </row>
    <row r="328" spans="1:1">
      <c r="A328" s="181"/>
    </row>
    <row r="329" spans="1:1">
      <c r="A329" s="181"/>
    </row>
    <row r="330" spans="1:1">
      <c r="A330" s="181"/>
    </row>
    <row r="331" spans="1:1">
      <c r="A331" s="181"/>
    </row>
    <row r="332" spans="1:1">
      <c r="A332" s="181"/>
    </row>
    <row r="333" spans="1:1">
      <c r="A333" s="181"/>
    </row>
    <row r="334" spans="1:1">
      <c r="A334" s="181"/>
    </row>
    <row r="335" spans="1:1">
      <c r="A335" s="181"/>
    </row>
    <row r="336" spans="1:1">
      <c r="A336" s="181"/>
    </row>
    <row r="337" spans="1:1">
      <c r="A337" s="181"/>
    </row>
    <row r="338" spans="1:1">
      <c r="A338" s="181"/>
    </row>
    <row r="339" spans="1:1">
      <c r="A339" s="181"/>
    </row>
    <row r="340" spans="1:1">
      <c r="A340" s="181"/>
    </row>
    <row r="341" spans="1:1">
      <c r="A341" s="181"/>
    </row>
    <row r="342" spans="1:1">
      <c r="A342" s="181"/>
    </row>
    <row r="343" spans="1:1">
      <c r="A343" s="181"/>
    </row>
    <row r="344" spans="1:1">
      <c r="A344" s="181"/>
    </row>
    <row r="345" spans="1:1">
      <c r="A345" s="181"/>
    </row>
    <row r="346" spans="1:1">
      <c r="A346" s="181"/>
    </row>
    <row r="347" spans="1:1">
      <c r="A347" s="181"/>
    </row>
    <row r="348" spans="1:1">
      <c r="A348" s="181"/>
    </row>
    <row r="349" spans="1:1">
      <c r="A349" s="181"/>
    </row>
    <row r="350" spans="1:1">
      <c r="A350" s="181"/>
    </row>
    <row r="351" spans="1:1">
      <c r="A351" s="181"/>
    </row>
    <row r="352" spans="1:1">
      <c r="A352" s="181"/>
    </row>
    <row r="353" spans="1:1">
      <c r="A353" s="181"/>
    </row>
    <row r="354" spans="1:1">
      <c r="A354" s="181"/>
    </row>
    <row r="355" spans="1:1">
      <c r="A355" s="181"/>
    </row>
    <row r="356" spans="1:1">
      <c r="A356" s="181"/>
    </row>
    <row r="357" spans="1:1">
      <c r="A357" s="181"/>
    </row>
    <row r="358" spans="1:1">
      <c r="A358" s="181"/>
    </row>
    <row r="359" spans="1:1">
      <c r="A359" s="181"/>
    </row>
    <row r="360" spans="1:1">
      <c r="A360" s="181"/>
    </row>
    <row r="361" spans="1:1">
      <c r="A361" s="181"/>
    </row>
    <row r="362" spans="1:1">
      <c r="A362" s="181"/>
    </row>
    <row r="363" spans="1:1">
      <c r="A363" s="181"/>
    </row>
    <row r="364" spans="1:1">
      <c r="A364" s="181"/>
    </row>
    <row r="365" spans="1:1">
      <c r="A365" s="181"/>
    </row>
    <row r="366" spans="1:1">
      <c r="A366" s="181"/>
    </row>
    <row r="367" spans="1:1">
      <c r="A367" s="181"/>
    </row>
    <row r="368" spans="1:1">
      <c r="A368" s="181"/>
    </row>
    <row r="369" spans="1:1">
      <c r="A369" s="181"/>
    </row>
    <row r="370" spans="1:1">
      <c r="A370" s="181"/>
    </row>
    <row r="371" spans="1:1">
      <c r="A371" s="181"/>
    </row>
    <row r="372" spans="1:1">
      <c r="A372" s="181"/>
    </row>
    <row r="373" spans="1:1">
      <c r="A373" s="181"/>
    </row>
    <row r="374" spans="1:1">
      <c r="A374" s="181"/>
    </row>
    <row r="375" spans="1:1">
      <c r="A375" s="181"/>
    </row>
    <row r="376" spans="1:1">
      <c r="A376" s="181"/>
    </row>
    <row r="377" spans="1:1">
      <c r="A377" s="181"/>
    </row>
    <row r="378" spans="1:1">
      <c r="A378" s="181"/>
    </row>
    <row r="379" spans="1:1">
      <c r="A379" s="181"/>
    </row>
    <row r="380" spans="1:1">
      <c r="A380" s="181"/>
    </row>
    <row r="381" spans="1:1">
      <c r="A381" s="181"/>
    </row>
    <row r="382" spans="1:1">
      <c r="A382" s="181"/>
    </row>
    <row r="383" spans="1:1">
      <c r="A383" s="181"/>
    </row>
    <row r="384" spans="1:1">
      <c r="A384" s="181"/>
    </row>
    <row r="385" spans="1:1">
      <c r="A385" s="181"/>
    </row>
    <row r="386" spans="1:1">
      <c r="A386" s="181"/>
    </row>
    <row r="387" spans="1:1">
      <c r="A387" s="181"/>
    </row>
    <row r="388" spans="1:1">
      <c r="A388" s="181"/>
    </row>
    <row r="389" spans="1:1">
      <c r="A389" s="181"/>
    </row>
    <row r="390" spans="1:1">
      <c r="A390" s="181"/>
    </row>
    <row r="391" spans="1:1">
      <c r="A391" s="181"/>
    </row>
    <row r="392" spans="1:1">
      <c r="A392" s="181"/>
    </row>
    <row r="393" spans="1:1">
      <c r="A393" s="181"/>
    </row>
    <row r="394" spans="1:1">
      <c r="A394" s="181"/>
    </row>
    <row r="395" spans="1:1">
      <c r="A395" s="181"/>
    </row>
    <row r="396" spans="1:1">
      <c r="A396" s="181"/>
    </row>
    <row r="397" spans="1:1">
      <c r="A397" s="181"/>
    </row>
    <row r="398" spans="1:1">
      <c r="A398" s="181"/>
    </row>
    <row r="399" spans="1:1">
      <c r="A399" s="181"/>
    </row>
    <row r="400" spans="1:1">
      <c r="A400" s="181"/>
    </row>
    <row r="401" spans="1:1">
      <c r="A401" s="181"/>
    </row>
    <row r="402" spans="1:1">
      <c r="A402" s="181"/>
    </row>
    <row r="403" spans="1:1">
      <c r="A403" s="181"/>
    </row>
    <row r="404" spans="1:1">
      <c r="A404" s="181"/>
    </row>
    <row r="405" spans="1:1">
      <c r="A405" s="181"/>
    </row>
    <row r="406" spans="1:1">
      <c r="A406" s="181"/>
    </row>
    <row r="407" spans="1:1">
      <c r="A407" s="181"/>
    </row>
    <row r="408" spans="1:1">
      <c r="A408" s="181"/>
    </row>
    <row r="409" spans="1:1">
      <c r="A409" s="181"/>
    </row>
    <row r="410" spans="1:1">
      <c r="A410" s="181"/>
    </row>
    <row r="411" spans="1:1">
      <c r="A411" s="181"/>
    </row>
    <row r="412" spans="1:1">
      <c r="A412" s="181"/>
    </row>
    <row r="413" spans="1:1">
      <c r="A413" s="181"/>
    </row>
    <row r="414" spans="1:1">
      <c r="A414" s="181"/>
    </row>
    <row r="415" spans="1:1">
      <c r="A415" s="181"/>
    </row>
    <row r="416" spans="1:1">
      <c r="A416" s="181"/>
    </row>
    <row r="417" spans="1:1">
      <c r="A417" s="181"/>
    </row>
    <row r="418" spans="1:1">
      <c r="A418" s="181"/>
    </row>
    <row r="419" spans="1:1">
      <c r="A419" s="181"/>
    </row>
    <row r="420" spans="1:1">
      <c r="A420" s="181"/>
    </row>
    <row r="421" spans="1:1">
      <c r="A421" s="181"/>
    </row>
    <row r="422" spans="1:1">
      <c r="A422" s="181"/>
    </row>
    <row r="423" spans="1:1">
      <c r="A423" s="181"/>
    </row>
    <row r="424" spans="1:1">
      <c r="A424" s="181"/>
    </row>
    <row r="425" spans="1:1">
      <c r="A425" s="181"/>
    </row>
    <row r="426" spans="1:1">
      <c r="A426" s="181"/>
    </row>
    <row r="427" spans="1:1">
      <c r="A427" s="181"/>
    </row>
    <row r="428" spans="1:1">
      <c r="A428" s="181"/>
    </row>
    <row r="429" spans="1:1">
      <c r="A429" s="181"/>
    </row>
    <row r="430" spans="1:1">
      <c r="A430" s="181"/>
    </row>
    <row r="431" spans="1:1">
      <c r="A431" s="181"/>
    </row>
    <row r="432" spans="1:1">
      <c r="A432" s="181"/>
    </row>
    <row r="433" spans="1:1">
      <c r="A433" s="181"/>
    </row>
    <row r="434" spans="1:1">
      <c r="A434" s="181"/>
    </row>
    <row r="435" spans="1:1">
      <c r="A435" s="181"/>
    </row>
    <row r="436" spans="1:1">
      <c r="A436" s="181"/>
    </row>
    <row r="437" spans="1:1">
      <c r="A437" s="181"/>
    </row>
    <row r="438" spans="1:1">
      <c r="A438" s="181"/>
    </row>
    <row r="439" spans="1:1">
      <c r="A439" s="181"/>
    </row>
    <row r="440" spans="1:1">
      <c r="A440" s="181"/>
    </row>
    <row r="441" spans="1:1">
      <c r="A441" s="181"/>
    </row>
    <row r="442" spans="1:1">
      <c r="A442" s="181"/>
    </row>
    <row r="443" spans="1:1">
      <c r="A443" s="181"/>
    </row>
    <row r="444" spans="1:1">
      <c r="A444" s="181"/>
    </row>
    <row r="445" spans="1:1">
      <c r="A445" s="181"/>
    </row>
    <row r="446" spans="1:1">
      <c r="A446" s="181"/>
    </row>
    <row r="447" spans="1:1">
      <c r="A447" s="181"/>
    </row>
    <row r="448" spans="1:1">
      <c r="A448" s="181"/>
    </row>
    <row r="449" spans="1:1">
      <c r="A449" s="181"/>
    </row>
    <row r="450" spans="1:1">
      <c r="A450" s="181"/>
    </row>
    <row r="451" spans="1:1">
      <c r="A451" s="181"/>
    </row>
    <row r="452" spans="1:1">
      <c r="A452" s="181"/>
    </row>
    <row r="453" spans="1:1">
      <c r="A453" s="181"/>
    </row>
    <row r="454" spans="1:1">
      <c r="A454" s="181"/>
    </row>
    <row r="455" spans="1:1">
      <c r="A455" s="181"/>
    </row>
  </sheetData>
  <mergeCells count="34">
    <mergeCell ref="B12:F12"/>
    <mergeCell ref="B13:F13"/>
    <mergeCell ref="B9:C9"/>
    <mergeCell ref="B7:D7"/>
    <mergeCell ref="B6:F6"/>
    <mergeCell ref="B11:F11"/>
    <mergeCell ref="C131:D131"/>
    <mergeCell ref="F131:G131"/>
    <mergeCell ref="B10:E10"/>
    <mergeCell ref="A60:H60"/>
    <mergeCell ref="A24:H24"/>
    <mergeCell ref="A59:H59"/>
    <mergeCell ref="A16:H16"/>
    <mergeCell ref="C21:D21"/>
    <mergeCell ref="E21:H21"/>
    <mergeCell ref="A17:H17"/>
    <mergeCell ref="C130:D130"/>
    <mergeCell ref="F130:G130"/>
    <mergeCell ref="A92:H92"/>
    <mergeCell ref="A108:H108"/>
    <mergeCell ref="A15:H15"/>
    <mergeCell ref="A117:H117"/>
    <mergeCell ref="B1:E1"/>
    <mergeCell ref="B2:F2"/>
    <mergeCell ref="B3:F3"/>
    <mergeCell ref="B4:F4"/>
    <mergeCell ref="B5:F5"/>
    <mergeCell ref="A18:H18"/>
    <mergeCell ref="A19:H19"/>
    <mergeCell ref="A65:H65"/>
    <mergeCell ref="A73:H73"/>
    <mergeCell ref="A86:H86"/>
    <mergeCell ref="A21:A22"/>
    <mergeCell ref="B21:B22"/>
  </mergeCells>
  <phoneticPr fontId="3" type="noConversion"/>
  <pageMargins left="0.59055118110236227" right="0.59055118110236227" top="0.98425196850393704" bottom="0.59055118110236227" header="0.31496062992125984" footer="0.19685039370078741"/>
  <pageSetup paperSize="9" scale="48" fitToHeight="0" orientation="landscape" blackAndWhite="1" verticalDpi="300" r:id="rId1"/>
  <headerFooter alignWithMargins="0"/>
  <ignoredErrors>
    <ignoredError sqref="G66 H66 H74 C123:C126 H25:H28 C34:G34 G72 G36:G37 C88:G88 G48 F124:G126 H118:H126 H62:H63 H61 H64 H29:H30 H31 H32 H54:H58 C87 C91:H91 G89 G90:H90 H72 D33:G33 H49:H50 H38:H39 H81 H84 G123 H53" evalError="1"/>
    <ignoredError sqref="B75 B109:B116 B118:B126" numberStoredAsText="1"/>
    <ignoredError sqref="E119:E121" formula="1"/>
    <ignoredError sqref="E123:E126" evalError="1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89"/>
  <sheetViews>
    <sheetView view="pageBreakPreview" topLeftCell="A29" zoomScale="60" zoomScaleNormal="60" workbookViewId="0">
      <selection activeCell="A27" sqref="A27:XFD28"/>
    </sheetView>
  </sheetViews>
  <sheetFormatPr defaultColWidth="9.109375" defaultRowHeight="18"/>
  <cols>
    <col min="1" max="1" width="44.88671875" style="347" customWidth="1"/>
    <col min="2" max="2" width="19.33203125" style="24" customWidth="1"/>
    <col min="3" max="3" width="15.88671875" style="347" customWidth="1"/>
    <col min="4" max="4" width="16.109375" style="347" customWidth="1"/>
    <col min="5" max="5" width="15.44140625" style="347" customWidth="1"/>
    <col min="6" max="6" width="16.5546875" style="347" customWidth="1"/>
    <col min="7" max="7" width="15.33203125" style="347" customWidth="1"/>
    <col min="8" max="8" width="16.5546875" style="347" customWidth="1"/>
    <col min="9" max="9" width="16.109375" style="347" customWidth="1"/>
    <col min="10" max="10" width="16.44140625" style="347" customWidth="1"/>
    <col min="11" max="11" width="16.5546875" style="347" customWidth="1"/>
    <col min="12" max="12" width="16.88671875" style="347" customWidth="1"/>
    <col min="13" max="15" width="16.6640625" style="347" customWidth="1"/>
    <col min="16" max="16384" width="9.109375" style="347"/>
  </cols>
  <sheetData>
    <row r="1" spans="1:15" ht="20.399999999999999">
      <c r="O1" s="197" t="s">
        <v>347</v>
      </c>
    </row>
    <row r="2" spans="1:15" ht="24.75" customHeight="1">
      <c r="A2" s="579" t="s">
        <v>89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</row>
    <row r="3" spans="1:15" ht="37.5" customHeight="1">
      <c r="A3" s="580" t="s">
        <v>437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</row>
    <row r="4" spans="1:15" ht="24.75" customHeight="1">
      <c r="A4" s="583" t="s">
        <v>617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</row>
    <row r="5" spans="1:15" s="313" customFormat="1" ht="21">
      <c r="A5" s="583" t="s">
        <v>618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</row>
    <row r="6" spans="1:15" ht="41.25" customHeight="1">
      <c r="A6" s="582" t="s">
        <v>220</v>
      </c>
      <c r="B6" s="582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</row>
    <row r="7" spans="1:15" ht="41.25" customHeight="1">
      <c r="A7" s="584" t="s">
        <v>171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</row>
    <row r="8" spans="1:15" s="170" customFormat="1" ht="74.25" customHeight="1">
      <c r="A8" s="441" t="s">
        <v>153</v>
      </c>
      <c r="B8" s="441"/>
      <c r="C8" s="562" t="s">
        <v>440</v>
      </c>
      <c r="D8" s="562"/>
      <c r="E8" s="561"/>
      <c r="F8" s="560" t="s">
        <v>438</v>
      </c>
      <c r="G8" s="562"/>
      <c r="H8" s="561"/>
      <c r="I8" s="441" t="s">
        <v>439</v>
      </c>
      <c r="J8" s="441"/>
      <c r="K8" s="441"/>
      <c r="L8" s="441" t="s">
        <v>412</v>
      </c>
      <c r="M8" s="441"/>
      <c r="N8" s="560" t="s">
        <v>413</v>
      </c>
      <c r="O8" s="561"/>
    </row>
    <row r="9" spans="1:15" s="170" customFormat="1" ht="27.75" customHeight="1">
      <c r="A9" s="441">
        <v>1</v>
      </c>
      <c r="B9" s="441"/>
      <c r="C9" s="562">
        <v>2</v>
      </c>
      <c r="D9" s="562"/>
      <c r="E9" s="561"/>
      <c r="F9" s="560">
        <v>3</v>
      </c>
      <c r="G9" s="562"/>
      <c r="H9" s="561"/>
      <c r="I9" s="441">
        <v>4</v>
      </c>
      <c r="J9" s="441"/>
      <c r="K9" s="441"/>
      <c r="L9" s="560">
        <v>5</v>
      </c>
      <c r="M9" s="561"/>
      <c r="N9" s="441">
        <v>6</v>
      </c>
      <c r="O9" s="441"/>
    </row>
    <row r="10" spans="1:15" s="170" customFormat="1" ht="135.75" customHeight="1">
      <c r="A10" s="460" t="s">
        <v>387</v>
      </c>
      <c r="B10" s="460"/>
      <c r="C10" s="573">
        <f>SUM(C11:C13)</f>
        <v>1542</v>
      </c>
      <c r="D10" s="574"/>
      <c r="E10" s="575"/>
      <c r="F10" s="573">
        <f>SUM(F11:F13)</f>
        <v>1655</v>
      </c>
      <c r="G10" s="574"/>
      <c r="H10" s="575"/>
      <c r="I10" s="573">
        <f>SUM(I11:I13)</f>
        <v>1499</v>
      </c>
      <c r="J10" s="574"/>
      <c r="K10" s="575"/>
      <c r="L10" s="578">
        <f>I10-F10</f>
        <v>-156</v>
      </c>
      <c r="M10" s="578"/>
      <c r="N10" s="576">
        <f>(I10/F10)*100</f>
        <v>90.57401812688822</v>
      </c>
      <c r="O10" s="577"/>
    </row>
    <row r="11" spans="1:15" s="170" customFormat="1" ht="33" customHeight="1">
      <c r="A11" s="543" t="s">
        <v>157</v>
      </c>
      <c r="B11" s="543"/>
      <c r="C11" s="549">
        <v>1</v>
      </c>
      <c r="D11" s="550"/>
      <c r="E11" s="551"/>
      <c r="F11" s="549">
        <v>1</v>
      </c>
      <c r="G11" s="550"/>
      <c r="H11" s="551"/>
      <c r="I11" s="549">
        <v>1</v>
      </c>
      <c r="J11" s="550"/>
      <c r="K11" s="551"/>
      <c r="L11" s="567">
        <f t="shared" ref="L11:L25" si="0">I11-F11</f>
        <v>0</v>
      </c>
      <c r="M11" s="567"/>
      <c r="N11" s="552">
        <f t="shared" ref="N11:N25" si="1">(I11/F11)*100</f>
        <v>100</v>
      </c>
      <c r="O11" s="553"/>
    </row>
    <row r="12" spans="1:15" s="170" customFormat="1" ht="33" customHeight="1">
      <c r="A12" s="543" t="s">
        <v>156</v>
      </c>
      <c r="B12" s="543"/>
      <c r="C12" s="549">
        <v>254</v>
      </c>
      <c r="D12" s="550"/>
      <c r="E12" s="551"/>
      <c r="F12" s="549">
        <v>257</v>
      </c>
      <c r="G12" s="550"/>
      <c r="H12" s="551"/>
      <c r="I12" s="549">
        <v>252</v>
      </c>
      <c r="J12" s="550"/>
      <c r="K12" s="551"/>
      <c r="L12" s="567">
        <f t="shared" si="0"/>
        <v>-5</v>
      </c>
      <c r="M12" s="567"/>
      <c r="N12" s="552">
        <f t="shared" si="1"/>
        <v>98.054474708171199</v>
      </c>
      <c r="O12" s="553"/>
    </row>
    <row r="13" spans="1:15" s="170" customFormat="1" ht="33" customHeight="1">
      <c r="A13" s="543" t="s">
        <v>158</v>
      </c>
      <c r="B13" s="543"/>
      <c r="C13" s="549">
        <v>1287</v>
      </c>
      <c r="D13" s="550"/>
      <c r="E13" s="551"/>
      <c r="F13" s="549">
        <v>1397</v>
      </c>
      <c r="G13" s="550"/>
      <c r="H13" s="551"/>
      <c r="I13" s="549">
        <v>1246</v>
      </c>
      <c r="J13" s="550"/>
      <c r="K13" s="551"/>
      <c r="L13" s="567">
        <f t="shared" si="0"/>
        <v>-151</v>
      </c>
      <c r="M13" s="567"/>
      <c r="N13" s="552">
        <f t="shared" si="1"/>
        <v>89.191123836793125</v>
      </c>
      <c r="O13" s="553"/>
    </row>
    <row r="14" spans="1:15" s="170" customFormat="1" ht="44.25" customHeight="1">
      <c r="A14" s="460" t="s">
        <v>311</v>
      </c>
      <c r="B14" s="460"/>
      <c r="C14" s="573">
        <f>SUM(C15:C17)</f>
        <v>255931.59999999998</v>
      </c>
      <c r="D14" s="574"/>
      <c r="E14" s="575"/>
      <c r="F14" s="573">
        <f>SUM(F15:F17)</f>
        <v>335388.7</v>
      </c>
      <c r="G14" s="574"/>
      <c r="H14" s="575"/>
      <c r="I14" s="573">
        <f>SUM(I15:I17)</f>
        <v>295276</v>
      </c>
      <c r="J14" s="574"/>
      <c r="K14" s="575"/>
      <c r="L14" s="578">
        <f t="shared" si="0"/>
        <v>-40112.700000000012</v>
      </c>
      <c r="M14" s="578"/>
      <c r="N14" s="576">
        <f t="shared" si="1"/>
        <v>88.039936944804637</v>
      </c>
      <c r="O14" s="577"/>
    </row>
    <row r="15" spans="1:15" s="170" customFormat="1" ht="33" customHeight="1">
      <c r="A15" s="543" t="s">
        <v>157</v>
      </c>
      <c r="B15" s="543"/>
      <c r="C15" s="549">
        <v>1065.9000000000001</v>
      </c>
      <c r="D15" s="550"/>
      <c r="E15" s="551"/>
      <c r="F15" s="549">
        <v>1133.9000000000001</v>
      </c>
      <c r="G15" s="550"/>
      <c r="H15" s="551"/>
      <c r="I15" s="549">
        <v>988</v>
      </c>
      <c r="J15" s="550"/>
      <c r="K15" s="551"/>
      <c r="L15" s="567">
        <f t="shared" si="0"/>
        <v>-145.90000000000009</v>
      </c>
      <c r="M15" s="567"/>
      <c r="N15" s="552">
        <f t="shared" si="1"/>
        <v>87.132904136167198</v>
      </c>
      <c r="O15" s="553"/>
    </row>
    <row r="16" spans="1:15" s="170" customFormat="1" ht="33" customHeight="1">
      <c r="A16" s="543" t="s">
        <v>156</v>
      </c>
      <c r="B16" s="543"/>
      <c r="C16" s="549">
        <v>46852.9</v>
      </c>
      <c r="D16" s="550"/>
      <c r="E16" s="551"/>
      <c r="F16" s="549">
        <v>71324.600000000006</v>
      </c>
      <c r="G16" s="550"/>
      <c r="H16" s="551"/>
      <c r="I16" s="549">
        <v>54744</v>
      </c>
      <c r="J16" s="550"/>
      <c r="K16" s="551"/>
      <c r="L16" s="567">
        <f t="shared" si="0"/>
        <v>-16580.600000000006</v>
      </c>
      <c r="M16" s="567"/>
      <c r="N16" s="552">
        <f t="shared" si="1"/>
        <v>76.753322135700714</v>
      </c>
      <c r="O16" s="553"/>
    </row>
    <row r="17" spans="1:25" s="170" customFormat="1" ht="33" customHeight="1">
      <c r="A17" s="543" t="s">
        <v>158</v>
      </c>
      <c r="B17" s="543"/>
      <c r="C17" s="549">
        <v>208012.79999999999</v>
      </c>
      <c r="D17" s="550"/>
      <c r="E17" s="551"/>
      <c r="F17" s="549">
        <v>262930.2</v>
      </c>
      <c r="G17" s="550"/>
      <c r="H17" s="551"/>
      <c r="I17" s="549">
        <v>239544</v>
      </c>
      <c r="J17" s="550"/>
      <c r="K17" s="551"/>
      <c r="L17" s="567">
        <f t="shared" si="0"/>
        <v>-23386.200000000012</v>
      </c>
      <c r="M17" s="567"/>
      <c r="N17" s="552">
        <f t="shared" si="1"/>
        <v>91.10554816449384</v>
      </c>
      <c r="O17" s="553"/>
    </row>
    <row r="18" spans="1:25" s="170" customFormat="1" ht="47.25" customHeight="1">
      <c r="A18" s="460" t="s">
        <v>312</v>
      </c>
      <c r="B18" s="460"/>
      <c r="C18" s="573">
        <f>'Осн. фін. пок.'!C54</f>
        <v>260418</v>
      </c>
      <c r="D18" s="574"/>
      <c r="E18" s="575"/>
      <c r="F18" s="573">
        <f>'Осн. фін. пок.'!E54</f>
        <v>335389</v>
      </c>
      <c r="G18" s="574"/>
      <c r="H18" s="575"/>
      <c r="I18" s="573">
        <f>'Осн. фін. пок.'!F54</f>
        <v>295481</v>
      </c>
      <c r="J18" s="574"/>
      <c r="K18" s="575"/>
      <c r="L18" s="578">
        <f t="shared" si="0"/>
        <v>-39908</v>
      </c>
      <c r="M18" s="578"/>
      <c r="N18" s="576">
        <f t="shared" si="1"/>
        <v>88.100981248639641</v>
      </c>
      <c r="O18" s="577"/>
    </row>
    <row r="19" spans="1:25" s="170" customFormat="1" ht="33" customHeight="1">
      <c r="A19" s="543" t="s">
        <v>157</v>
      </c>
      <c r="B19" s="543"/>
      <c r="C19" s="549">
        <v>1065.9000000000001</v>
      </c>
      <c r="D19" s="550"/>
      <c r="E19" s="551"/>
      <c r="F19" s="549">
        <v>1440.6</v>
      </c>
      <c r="G19" s="550"/>
      <c r="H19" s="551"/>
      <c r="I19" s="549">
        <v>988</v>
      </c>
      <c r="J19" s="550"/>
      <c r="K19" s="551"/>
      <c r="L19" s="567">
        <f t="shared" si="0"/>
        <v>-452.59999999999991</v>
      </c>
      <c r="M19" s="567"/>
      <c r="N19" s="552">
        <f t="shared" si="1"/>
        <v>68.582535054838274</v>
      </c>
      <c r="O19" s="553"/>
    </row>
    <row r="20" spans="1:25" s="170" customFormat="1" ht="33" customHeight="1">
      <c r="A20" s="543" t="s">
        <v>156</v>
      </c>
      <c r="B20" s="543"/>
      <c r="C20" s="549">
        <v>46852.9</v>
      </c>
      <c r="D20" s="550"/>
      <c r="E20" s="551"/>
      <c r="F20" s="549">
        <v>71017.899999999994</v>
      </c>
      <c r="G20" s="550"/>
      <c r="H20" s="551"/>
      <c r="I20" s="549">
        <v>54744</v>
      </c>
      <c r="J20" s="550"/>
      <c r="K20" s="551"/>
      <c r="L20" s="567">
        <f t="shared" si="0"/>
        <v>-16273.899999999994</v>
      </c>
      <c r="M20" s="567"/>
      <c r="N20" s="552">
        <f t="shared" si="1"/>
        <v>77.084791299095031</v>
      </c>
      <c r="O20" s="553"/>
    </row>
    <row r="21" spans="1:25" s="170" customFormat="1" ht="33" customHeight="1">
      <c r="A21" s="543" t="s">
        <v>158</v>
      </c>
      <c r="B21" s="543"/>
      <c r="C21" s="549">
        <v>212499.20000000001</v>
      </c>
      <c r="D21" s="550"/>
      <c r="E21" s="551"/>
      <c r="F21" s="549">
        <v>262930.2</v>
      </c>
      <c r="G21" s="550"/>
      <c r="H21" s="551"/>
      <c r="I21" s="549">
        <v>239749</v>
      </c>
      <c r="J21" s="550"/>
      <c r="K21" s="551"/>
      <c r="L21" s="567">
        <f t="shared" si="0"/>
        <v>-23181.200000000012</v>
      </c>
      <c r="M21" s="567"/>
      <c r="N21" s="552">
        <f t="shared" si="1"/>
        <v>91.183515625059414</v>
      </c>
      <c r="O21" s="553"/>
    </row>
    <row r="22" spans="1:25" s="170" customFormat="1" ht="71.25" customHeight="1">
      <c r="A22" s="460" t="s">
        <v>388</v>
      </c>
      <c r="B22" s="460"/>
      <c r="C22" s="573">
        <f>ROUND((C18/C10)/12*1000,0)</f>
        <v>14074</v>
      </c>
      <c r="D22" s="574"/>
      <c r="E22" s="575"/>
      <c r="F22" s="573">
        <f>ROUND((F18/F10)/12*1000,0)</f>
        <v>16888</v>
      </c>
      <c r="G22" s="574"/>
      <c r="H22" s="575"/>
      <c r="I22" s="573">
        <f>ROUND((I18/I10)/12*1000,0)</f>
        <v>16427</v>
      </c>
      <c r="J22" s="574"/>
      <c r="K22" s="575"/>
      <c r="L22" s="578">
        <f>I22-F22</f>
        <v>-461</v>
      </c>
      <c r="M22" s="578"/>
      <c r="N22" s="576">
        <f t="shared" si="1"/>
        <v>97.270251065845571</v>
      </c>
      <c r="O22" s="577"/>
    </row>
    <row r="23" spans="1:25" s="170" customFormat="1" ht="33" customHeight="1">
      <c r="A23" s="543" t="s">
        <v>157</v>
      </c>
      <c r="B23" s="543"/>
      <c r="C23" s="549">
        <f t="shared" ref="C23:C25" si="2">ROUND((C19/C11)/12*1000,0)</f>
        <v>88825</v>
      </c>
      <c r="D23" s="550"/>
      <c r="E23" s="551"/>
      <c r="F23" s="549">
        <f t="shared" ref="F23:F25" si="3">ROUND((F19/F11)/12*1000,0)</f>
        <v>120050</v>
      </c>
      <c r="G23" s="550"/>
      <c r="H23" s="551"/>
      <c r="I23" s="549">
        <f t="shared" ref="I23:I25" si="4">ROUND((I19/I11)/12*1000,0)</f>
        <v>82333</v>
      </c>
      <c r="J23" s="550"/>
      <c r="K23" s="551"/>
      <c r="L23" s="567">
        <f t="shared" si="0"/>
        <v>-37717</v>
      </c>
      <c r="M23" s="567"/>
      <c r="N23" s="552">
        <f t="shared" si="1"/>
        <v>68.582257392753021</v>
      </c>
      <c r="O23" s="553"/>
    </row>
    <row r="24" spans="1:25" s="170" customFormat="1" ht="33" customHeight="1">
      <c r="A24" s="543" t="s">
        <v>156</v>
      </c>
      <c r="B24" s="543"/>
      <c r="C24" s="549">
        <f t="shared" si="2"/>
        <v>15372</v>
      </c>
      <c r="D24" s="550"/>
      <c r="E24" s="551"/>
      <c r="F24" s="549">
        <f t="shared" si="3"/>
        <v>23028</v>
      </c>
      <c r="G24" s="550"/>
      <c r="H24" s="551"/>
      <c r="I24" s="549">
        <f t="shared" si="4"/>
        <v>18103</v>
      </c>
      <c r="J24" s="550"/>
      <c r="K24" s="551"/>
      <c r="L24" s="567">
        <f t="shared" si="0"/>
        <v>-4925</v>
      </c>
      <c r="M24" s="567"/>
      <c r="N24" s="552">
        <f t="shared" si="1"/>
        <v>78.61299287823519</v>
      </c>
      <c r="O24" s="553"/>
    </row>
    <row r="25" spans="1:25" s="170" customFormat="1" ht="33" customHeight="1">
      <c r="A25" s="543" t="s">
        <v>158</v>
      </c>
      <c r="B25" s="543"/>
      <c r="C25" s="549">
        <f t="shared" si="2"/>
        <v>13759</v>
      </c>
      <c r="D25" s="550"/>
      <c r="E25" s="551"/>
      <c r="F25" s="549">
        <f t="shared" si="3"/>
        <v>15684</v>
      </c>
      <c r="G25" s="550"/>
      <c r="H25" s="551"/>
      <c r="I25" s="549">
        <f t="shared" si="4"/>
        <v>16035</v>
      </c>
      <c r="J25" s="550"/>
      <c r="K25" s="551"/>
      <c r="L25" s="567">
        <f t="shared" si="0"/>
        <v>351</v>
      </c>
      <c r="M25" s="567"/>
      <c r="N25" s="552">
        <f t="shared" si="1"/>
        <v>102.23794950267788</v>
      </c>
      <c r="O25" s="553"/>
      <c r="W25" s="538"/>
      <c r="X25" s="538"/>
      <c r="Y25" s="538"/>
    </row>
    <row r="26" spans="1:25" s="170" customFormat="1" ht="13.5" customHeight="1">
      <c r="A26" s="76"/>
      <c r="B26" s="76"/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172"/>
      <c r="O26" s="172"/>
      <c r="W26" s="539"/>
      <c r="X26" s="539"/>
      <c r="Y26" s="539"/>
    </row>
    <row r="27" spans="1:25" ht="21" hidden="1">
      <c r="A27" s="554"/>
      <c r="B27" s="554"/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W27" s="539"/>
      <c r="X27" s="539"/>
      <c r="Y27" s="539"/>
    </row>
    <row r="28" spans="1:25" ht="11.25" hidden="1" customHeight="1">
      <c r="A28" s="78"/>
      <c r="B28" s="78"/>
      <c r="C28" s="78"/>
      <c r="D28" s="78"/>
      <c r="E28" s="78"/>
      <c r="F28" s="78"/>
      <c r="G28" s="78"/>
      <c r="H28" s="78"/>
      <c r="I28" s="78"/>
      <c r="J28" s="68"/>
      <c r="K28" s="68"/>
      <c r="L28" s="68"/>
      <c r="M28" s="68"/>
      <c r="N28" s="68"/>
      <c r="O28" s="68"/>
      <c r="W28" s="539"/>
      <c r="X28" s="539"/>
      <c r="Y28" s="539"/>
    </row>
    <row r="29" spans="1:25" ht="22.8">
      <c r="A29" s="582" t="s">
        <v>330</v>
      </c>
      <c r="B29" s="582"/>
      <c r="C29" s="582"/>
      <c r="D29" s="582"/>
      <c r="E29" s="582"/>
      <c r="F29" s="582"/>
      <c r="G29" s="582"/>
      <c r="H29" s="582"/>
      <c r="I29" s="582"/>
      <c r="J29" s="582"/>
      <c r="W29" s="170"/>
      <c r="X29" s="170"/>
      <c r="Y29" s="170"/>
    </row>
    <row r="30" spans="1:25">
      <c r="A30" s="23"/>
      <c r="W30" s="170"/>
      <c r="X30" s="170"/>
      <c r="Y30" s="170"/>
    </row>
    <row r="31" spans="1:25" ht="52.5" customHeight="1">
      <c r="A31" s="596" t="s">
        <v>389</v>
      </c>
      <c r="B31" s="597"/>
      <c r="C31" s="598"/>
      <c r="D31" s="581" t="s">
        <v>433</v>
      </c>
      <c r="E31" s="581"/>
      <c r="F31" s="581"/>
      <c r="G31" s="581" t="s">
        <v>434</v>
      </c>
      <c r="H31" s="581"/>
      <c r="I31" s="581"/>
      <c r="J31" s="581" t="s">
        <v>154</v>
      </c>
      <c r="K31" s="581"/>
      <c r="L31" s="581"/>
      <c r="M31" s="480" t="s">
        <v>155</v>
      </c>
      <c r="N31" s="532"/>
      <c r="O31" s="481"/>
    </row>
    <row r="32" spans="1:25" ht="155.25" customHeight="1">
      <c r="A32" s="599"/>
      <c r="B32" s="600"/>
      <c r="C32" s="601"/>
      <c r="D32" s="346" t="s">
        <v>313</v>
      </c>
      <c r="E32" s="346" t="s">
        <v>169</v>
      </c>
      <c r="F32" s="346" t="s">
        <v>314</v>
      </c>
      <c r="G32" s="346" t="s">
        <v>313</v>
      </c>
      <c r="H32" s="346" t="s">
        <v>169</v>
      </c>
      <c r="I32" s="346" t="s">
        <v>314</v>
      </c>
      <c r="J32" s="346" t="s">
        <v>313</v>
      </c>
      <c r="K32" s="346" t="s">
        <v>169</v>
      </c>
      <c r="L32" s="346" t="s">
        <v>314</v>
      </c>
      <c r="M32" s="25" t="s">
        <v>137</v>
      </c>
      <c r="N32" s="25" t="s">
        <v>138</v>
      </c>
      <c r="O32" s="25" t="s">
        <v>186</v>
      </c>
    </row>
    <row r="33" spans="1:15" ht="25.5" customHeight="1">
      <c r="A33" s="480">
        <v>1</v>
      </c>
      <c r="B33" s="532"/>
      <c r="C33" s="481"/>
      <c r="D33" s="346">
        <v>2</v>
      </c>
      <c r="E33" s="346">
        <v>3</v>
      </c>
      <c r="F33" s="346">
        <v>4</v>
      </c>
      <c r="G33" s="346">
        <v>5</v>
      </c>
      <c r="H33" s="48">
        <v>6</v>
      </c>
      <c r="I33" s="48">
        <v>7</v>
      </c>
      <c r="J33" s="48">
        <v>8</v>
      </c>
      <c r="K33" s="48">
        <v>9</v>
      </c>
      <c r="L33" s="48">
        <v>10</v>
      </c>
      <c r="M33" s="48">
        <v>11</v>
      </c>
      <c r="N33" s="48">
        <v>12</v>
      </c>
      <c r="O33" s="48">
        <v>13</v>
      </c>
    </row>
    <row r="34" spans="1:15" ht="25.5" customHeight="1">
      <c r="A34" s="544" t="s">
        <v>619</v>
      </c>
      <c r="B34" s="545"/>
      <c r="C34" s="546"/>
      <c r="D34" s="383">
        <v>264172.90000000002</v>
      </c>
      <c r="E34" s="346"/>
      <c r="F34" s="346"/>
      <c r="G34" s="346">
        <v>183914.9</v>
      </c>
      <c r="H34" s="48"/>
      <c r="I34" s="48"/>
      <c r="J34" s="342">
        <f t="shared" ref="J34:J39" si="5">G34-D34</f>
        <v>-80258.000000000029</v>
      </c>
      <c r="K34" s="48"/>
      <c r="L34" s="48"/>
      <c r="M34" s="223">
        <f t="shared" ref="M34:M39" si="6">(G34/D34)*100</f>
        <v>69.619139586233104</v>
      </c>
      <c r="N34" s="48"/>
      <c r="O34" s="48"/>
    </row>
    <row r="35" spans="1:15" ht="25.5" customHeight="1">
      <c r="A35" s="544" t="s">
        <v>620</v>
      </c>
      <c r="B35" s="545"/>
      <c r="C35" s="546"/>
      <c r="D35" s="346">
        <v>3600</v>
      </c>
      <c r="E35" s="346"/>
      <c r="F35" s="346"/>
      <c r="G35" s="346">
        <v>1064.7</v>
      </c>
      <c r="H35" s="48"/>
      <c r="I35" s="48"/>
      <c r="J35" s="342">
        <f t="shared" si="5"/>
        <v>-2535.3000000000002</v>
      </c>
      <c r="K35" s="48"/>
      <c r="L35" s="48"/>
      <c r="M35" s="223">
        <f t="shared" si="6"/>
        <v>29.575000000000003</v>
      </c>
      <c r="N35" s="48"/>
      <c r="O35" s="48"/>
    </row>
    <row r="36" spans="1:15" ht="25.5" customHeight="1">
      <c r="A36" s="544" t="s">
        <v>621</v>
      </c>
      <c r="B36" s="545"/>
      <c r="C36" s="546"/>
      <c r="D36" s="346">
        <v>150</v>
      </c>
      <c r="E36" s="346"/>
      <c r="F36" s="346"/>
      <c r="G36" s="346">
        <v>180.1</v>
      </c>
      <c r="H36" s="48"/>
      <c r="I36" s="48"/>
      <c r="J36" s="342">
        <f t="shared" si="5"/>
        <v>30.099999999999994</v>
      </c>
      <c r="K36" s="48"/>
      <c r="L36" s="48"/>
      <c r="M36" s="223">
        <f t="shared" si="6"/>
        <v>120.06666666666665</v>
      </c>
      <c r="N36" s="48"/>
      <c r="O36" s="48"/>
    </row>
    <row r="37" spans="1:15" ht="25.5" customHeight="1">
      <c r="A37" s="544" t="s">
        <v>622</v>
      </c>
      <c r="B37" s="545"/>
      <c r="C37" s="546"/>
      <c r="D37" s="346">
        <v>1240</v>
      </c>
      <c r="E37" s="346"/>
      <c r="F37" s="346"/>
      <c r="G37" s="346">
        <v>1018.3</v>
      </c>
      <c r="H37" s="48"/>
      <c r="I37" s="48"/>
      <c r="J37" s="342">
        <f t="shared" si="5"/>
        <v>-221.70000000000005</v>
      </c>
      <c r="K37" s="48"/>
      <c r="L37" s="48"/>
      <c r="M37" s="223">
        <f t="shared" si="6"/>
        <v>82.120967741935473</v>
      </c>
      <c r="N37" s="48"/>
      <c r="O37" s="48"/>
    </row>
    <row r="38" spans="1:15" ht="25.5" customHeight="1">
      <c r="A38" s="544" t="s">
        <v>623</v>
      </c>
      <c r="B38" s="545"/>
      <c r="C38" s="546"/>
      <c r="D38" s="346"/>
      <c r="E38" s="346"/>
      <c r="F38" s="346"/>
      <c r="G38" s="346"/>
      <c r="H38" s="48"/>
      <c r="I38" s="48"/>
      <c r="J38" s="342">
        <f t="shared" si="5"/>
        <v>0</v>
      </c>
      <c r="K38" s="48"/>
      <c r="L38" s="48"/>
      <c r="M38" s="223"/>
      <c r="N38" s="48"/>
      <c r="O38" s="48"/>
    </row>
    <row r="39" spans="1:15" s="68" customFormat="1" ht="27.6" customHeight="1">
      <c r="A39" s="544" t="s">
        <v>624</v>
      </c>
      <c r="B39" s="545"/>
      <c r="C39" s="546"/>
      <c r="D39" s="350">
        <v>450</v>
      </c>
      <c r="E39" s="350"/>
      <c r="F39" s="350"/>
      <c r="G39" s="350">
        <v>575.4</v>
      </c>
      <c r="H39" s="325"/>
      <c r="I39" s="325"/>
      <c r="J39" s="342">
        <f t="shared" si="5"/>
        <v>125.39999999999998</v>
      </c>
      <c r="K39" s="325"/>
      <c r="L39" s="325"/>
      <c r="M39" s="223">
        <f t="shared" si="6"/>
        <v>127.86666666666666</v>
      </c>
      <c r="N39" s="325"/>
      <c r="O39" s="325"/>
    </row>
    <row r="40" spans="1:15" s="68" customFormat="1" ht="33" customHeight="1">
      <c r="A40" s="602" t="s">
        <v>49</v>
      </c>
      <c r="B40" s="603"/>
      <c r="C40" s="604"/>
      <c r="D40" s="341">
        <f>SUM(D34:D39)</f>
        <v>269612.90000000002</v>
      </c>
      <c r="E40" s="341"/>
      <c r="F40" s="80"/>
      <c r="G40" s="341">
        <f>SUM(G34:G39)</f>
        <v>186753.4</v>
      </c>
      <c r="H40" s="341"/>
      <c r="I40" s="80"/>
      <c r="J40" s="341">
        <f>G40-D40</f>
        <v>-82859.500000000029</v>
      </c>
      <c r="K40" s="341"/>
      <c r="L40" s="80"/>
      <c r="M40" s="224">
        <f>(G40/D40)*100</f>
        <v>69.267234616741263</v>
      </c>
      <c r="N40" s="341"/>
      <c r="O40" s="80"/>
    </row>
    <row r="41" spans="1:15" ht="35.25" customHeight="1">
      <c r="A41" s="26"/>
      <c r="B41" s="27"/>
      <c r="C41" s="27"/>
      <c r="D41" s="27"/>
      <c r="E41" s="27"/>
      <c r="F41" s="173"/>
      <c r="G41" s="173"/>
      <c r="H41" s="173"/>
      <c r="I41" s="28"/>
      <c r="J41" s="28"/>
      <c r="K41" s="28"/>
      <c r="L41" s="28"/>
      <c r="M41" s="28"/>
      <c r="N41" s="28"/>
      <c r="O41" s="29"/>
    </row>
    <row r="42" spans="1:15" ht="22.8">
      <c r="A42" s="582" t="s">
        <v>331</v>
      </c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</row>
    <row r="43" spans="1:15">
      <c r="A43" s="23"/>
      <c r="O43" s="30" t="s">
        <v>366</v>
      </c>
    </row>
    <row r="44" spans="1:15" ht="56.25" customHeight="1">
      <c r="A44" s="323" t="s">
        <v>91</v>
      </c>
      <c r="B44" s="441" t="s">
        <v>62</v>
      </c>
      <c r="C44" s="441"/>
      <c r="D44" s="441" t="s">
        <v>57</v>
      </c>
      <c r="E44" s="441"/>
      <c r="F44" s="441" t="s">
        <v>58</v>
      </c>
      <c r="G44" s="441"/>
      <c r="H44" s="441" t="s">
        <v>72</v>
      </c>
      <c r="I44" s="441"/>
      <c r="J44" s="441"/>
      <c r="K44" s="560" t="s">
        <v>441</v>
      </c>
      <c r="L44" s="561"/>
      <c r="M44" s="560" t="s">
        <v>30</v>
      </c>
      <c r="N44" s="562"/>
      <c r="O44" s="561"/>
    </row>
    <row r="45" spans="1:15" ht="24.75" customHeight="1">
      <c r="A45" s="325">
        <v>1</v>
      </c>
      <c r="B45" s="440">
        <v>2</v>
      </c>
      <c r="C45" s="440"/>
      <c r="D45" s="440">
        <v>3</v>
      </c>
      <c r="E45" s="440"/>
      <c r="F45" s="440">
        <v>4</v>
      </c>
      <c r="G45" s="440"/>
      <c r="H45" s="440">
        <v>5</v>
      </c>
      <c r="I45" s="440"/>
      <c r="J45" s="440"/>
      <c r="K45" s="440">
        <v>6</v>
      </c>
      <c r="L45" s="440"/>
      <c r="M45" s="563">
        <v>7</v>
      </c>
      <c r="N45" s="593"/>
      <c r="O45" s="564"/>
    </row>
    <row r="46" spans="1:15" ht="38.4" customHeight="1">
      <c r="A46" s="345" t="s">
        <v>513</v>
      </c>
      <c r="B46" s="526" t="s">
        <v>667</v>
      </c>
      <c r="C46" s="527"/>
      <c r="D46" s="587">
        <v>9027.2000000000007</v>
      </c>
      <c r="E46" s="588"/>
      <c r="F46" s="530" t="s">
        <v>669</v>
      </c>
      <c r="G46" s="531"/>
      <c r="H46" s="557" t="s">
        <v>671</v>
      </c>
      <c r="I46" s="558"/>
      <c r="J46" s="559"/>
      <c r="K46" s="524">
        <v>4000.45</v>
      </c>
      <c r="L46" s="525"/>
      <c r="M46" s="526" t="s">
        <v>678</v>
      </c>
      <c r="N46" s="535"/>
      <c r="O46" s="527"/>
    </row>
    <row r="47" spans="1:15" ht="38.4" customHeight="1">
      <c r="A47" s="345" t="s">
        <v>513</v>
      </c>
      <c r="B47" s="526" t="s">
        <v>667</v>
      </c>
      <c r="C47" s="527"/>
      <c r="D47" s="587">
        <v>414.4</v>
      </c>
      <c r="E47" s="588"/>
      <c r="F47" s="530" t="s">
        <v>669</v>
      </c>
      <c r="G47" s="531"/>
      <c r="H47" s="557" t="s">
        <v>672</v>
      </c>
      <c r="I47" s="558"/>
      <c r="J47" s="559"/>
      <c r="K47" s="524">
        <v>0</v>
      </c>
      <c r="L47" s="525"/>
      <c r="M47" s="526" t="s">
        <v>678</v>
      </c>
      <c r="N47" s="535"/>
      <c r="O47" s="527"/>
    </row>
    <row r="48" spans="1:15" ht="39.6" customHeight="1">
      <c r="A48" s="345" t="s">
        <v>513</v>
      </c>
      <c r="B48" s="526" t="s">
        <v>667</v>
      </c>
      <c r="C48" s="527"/>
      <c r="D48" s="587">
        <v>282</v>
      </c>
      <c r="E48" s="589"/>
      <c r="F48" s="530" t="s">
        <v>669</v>
      </c>
      <c r="G48" s="531"/>
      <c r="H48" s="605" t="s">
        <v>673</v>
      </c>
      <c r="I48" s="606"/>
      <c r="J48" s="607"/>
      <c r="K48" s="524">
        <v>0</v>
      </c>
      <c r="L48" s="525"/>
      <c r="M48" s="526" t="s">
        <v>678</v>
      </c>
      <c r="N48" s="535"/>
      <c r="O48" s="527"/>
    </row>
    <row r="49" spans="1:15" ht="39.6" customHeight="1">
      <c r="A49" s="345" t="s">
        <v>513</v>
      </c>
      <c r="B49" s="526" t="s">
        <v>667</v>
      </c>
      <c r="C49" s="527"/>
      <c r="D49" s="587">
        <v>994.3</v>
      </c>
      <c r="E49" s="589"/>
      <c r="F49" s="530" t="s">
        <v>669</v>
      </c>
      <c r="G49" s="531"/>
      <c r="H49" s="557" t="s">
        <v>674</v>
      </c>
      <c r="I49" s="606"/>
      <c r="J49" s="607"/>
      <c r="K49" s="524">
        <v>473.04</v>
      </c>
      <c r="L49" s="525"/>
      <c r="M49" s="526" t="s">
        <v>678</v>
      </c>
      <c r="N49" s="535"/>
      <c r="O49" s="527"/>
    </row>
    <row r="50" spans="1:15" ht="40.950000000000003" hidden="1" customHeight="1">
      <c r="A50" s="345" t="s">
        <v>513</v>
      </c>
      <c r="B50" s="526" t="s">
        <v>667</v>
      </c>
      <c r="C50" s="527"/>
      <c r="D50" s="587">
        <v>5200</v>
      </c>
      <c r="E50" s="589"/>
      <c r="F50" s="530" t="s">
        <v>669</v>
      </c>
      <c r="G50" s="531"/>
      <c r="H50" s="557" t="s">
        <v>675</v>
      </c>
      <c r="I50" s="606"/>
      <c r="J50" s="607"/>
      <c r="K50" s="524"/>
      <c r="L50" s="525"/>
      <c r="M50" s="526" t="s">
        <v>678</v>
      </c>
      <c r="N50" s="535"/>
      <c r="O50" s="527"/>
    </row>
    <row r="51" spans="1:15" ht="53.4" customHeight="1">
      <c r="A51" s="345" t="s">
        <v>790</v>
      </c>
      <c r="B51" s="526" t="s">
        <v>668</v>
      </c>
      <c r="C51" s="527"/>
      <c r="D51" s="528">
        <v>3000</v>
      </c>
      <c r="E51" s="529"/>
      <c r="F51" s="530" t="s">
        <v>791</v>
      </c>
      <c r="G51" s="531"/>
      <c r="H51" s="480" t="s">
        <v>792</v>
      </c>
      <c r="I51" s="532"/>
      <c r="J51" s="481"/>
      <c r="K51" s="533">
        <v>3000</v>
      </c>
      <c r="L51" s="534"/>
      <c r="M51" s="526" t="s">
        <v>793</v>
      </c>
      <c r="N51" s="535"/>
      <c r="O51" s="527"/>
    </row>
    <row r="52" spans="1:15" ht="24.75" customHeight="1">
      <c r="A52" s="345" t="s">
        <v>666</v>
      </c>
      <c r="B52" s="526" t="s">
        <v>667</v>
      </c>
      <c r="C52" s="527"/>
      <c r="D52" s="587">
        <v>89753.1</v>
      </c>
      <c r="E52" s="588"/>
      <c r="F52" s="530" t="s">
        <v>669</v>
      </c>
      <c r="G52" s="531"/>
      <c r="H52" s="557" t="s">
        <v>676</v>
      </c>
      <c r="I52" s="606"/>
      <c r="J52" s="607"/>
      <c r="K52" s="524">
        <v>42632.73</v>
      </c>
      <c r="L52" s="525"/>
      <c r="M52" s="526" t="s">
        <v>678</v>
      </c>
      <c r="N52" s="535"/>
      <c r="O52" s="527"/>
    </row>
    <row r="53" spans="1:15" ht="54.6" customHeight="1">
      <c r="A53" s="345" t="s">
        <v>666</v>
      </c>
      <c r="B53" s="526" t="s">
        <v>668</v>
      </c>
      <c r="C53" s="527"/>
      <c r="D53" s="587">
        <v>35000</v>
      </c>
      <c r="E53" s="588"/>
      <c r="F53" s="530" t="s">
        <v>670</v>
      </c>
      <c r="G53" s="531"/>
      <c r="H53" s="557" t="s">
        <v>677</v>
      </c>
      <c r="I53" s="558"/>
      <c r="J53" s="559"/>
      <c r="K53" s="555">
        <v>33750</v>
      </c>
      <c r="L53" s="556"/>
      <c r="M53" s="526" t="s">
        <v>679</v>
      </c>
      <c r="N53" s="535"/>
      <c r="O53" s="527"/>
    </row>
    <row r="54" spans="1:15" ht="30" customHeight="1">
      <c r="A54" s="81" t="s">
        <v>49</v>
      </c>
      <c r="B54" s="595" t="s">
        <v>31</v>
      </c>
      <c r="C54" s="595"/>
      <c r="D54" s="595" t="s">
        <v>31</v>
      </c>
      <c r="E54" s="595"/>
      <c r="F54" s="595" t="s">
        <v>31</v>
      </c>
      <c r="G54" s="595"/>
      <c r="H54" s="592"/>
      <c r="I54" s="592"/>
      <c r="J54" s="592"/>
      <c r="K54" s="565">
        <f>SUM(K46:L53)</f>
        <v>83856.22</v>
      </c>
      <c r="L54" s="566"/>
      <c r="M54" s="594"/>
      <c r="N54" s="594"/>
      <c r="O54" s="594"/>
    </row>
    <row r="55" spans="1:15">
      <c r="A55" s="173"/>
      <c r="B55" s="171"/>
      <c r="C55" s="171"/>
      <c r="D55" s="171"/>
      <c r="E55" s="171"/>
      <c r="F55" s="171" t="s">
        <v>361</v>
      </c>
      <c r="G55" s="171"/>
      <c r="H55" s="171"/>
      <c r="I55" s="171"/>
      <c r="J55" s="171"/>
      <c r="K55" s="170"/>
      <c r="L55" s="170"/>
      <c r="M55" s="170"/>
      <c r="N55" s="170"/>
      <c r="O55" s="170"/>
    </row>
    <row r="56" spans="1:15" ht="22.8">
      <c r="A56" s="582" t="s">
        <v>338</v>
      </c>
      <c r="B56" s="582"/>
      <c r="C56" s="582"/>
      <c r="D56" s="582"/>
      <c r="E56" s="582"/>
      <c r="F56" s="582"/>
      <c r="G56" s="582"/>
      <c r="H56" s="582"/>
      <c r="I56" s="582"/>
      <c r="J56" s="582"/>
      <c r="K56" s="582"/>
      <c r="L56" s="582"/>
      <c r="M56" s="582"/>
      <c r="N56" s="582"/>
      <c r="O56" s="582"/>
    </row>
    <row r="57" spans="1:15" ht="20.25" customHeight="1">
      <c r="A57" s="28"/>
      <c r="B57" s="31"/>
      <c r="C57" s="28"/>
      <c r="D57" s="28"/>
      <c r="E57" s="28"/>
      <c r="F57" s="28"/>
      <c r="G57" s="28"/>
      <c r="H57" s="28"/>
      <c r="I57" s="29"/>
      <c r="O57" s="30" t="s">
        <v>366</v>
      </c>
    </row>
    <row r="58" spans="1:15" ht="42.75" customHeight="1">
      <c r="A58" s="441" t="s">
        <v>56</v>
      </c>
      <c r="B58" s="441"/>
      <c r="C58" s="441"/>
      <c r="D58" s="441" t="s">
        <v>442</v>
      </c>
      <c r="E58" s="441"/>
      <c r="F58" s="441" t="s">
        <v>443</v>
      </c>
      <c r="G58" s="441"/>
      <c r="H58" s="441"/>
      <c r="I58" s="441"/>
      <c r="J58" s="441" t="s">
        <v>444</v>
      </c>
      <c r="K58" s="441"/>
      <c r="L58" s="441"/>
      <c r="M58" s="441"/>
      <c r="N58" s="441" t="s">
        <v>441</v>
      </c>
      <c r="O58" s="441"/>
    </row>
    <row r="59" spans="1:15" ht="42.75" customHeight="1">
      <c r="A59" s="441"/>
      <c r="B59" s="441"/>
      <c r="C59" s="441"/>
      <c r="D59" s="441"/>
      <c r="E59" s="441"/>
      <c r="F59" s="440" t="s">
        <v>139</v>
      </c>
      <c r="G59" s="440"/>
      <c r="H59" s="441" t="s">
        <v>140</v>
      </c>
      <c r="I59" s="441"/>
      <c r="J59" s="440" t="s">
        <v>139</v>
      </c>
      <c r="K59" s="440"/>
      <c r="L59" s="441" t="s">
        <v>140</v>
      </c>
      <c r="M59" s="441"/>
      <c r="N59" s="441"/>
      <c r="O59" s="441"/>
    </row>
    <row r="60" spans="1:15" ht="27" customHeight="1">
      <c r="A60" s="441">
        <v>1</v>
      </c>
      <c r="B60" s="441"/>
      <c r="C60" s="441"/>
      <c r="D60" s="560">
        <v>2</v>
      </c>
      <c r="E60" s="561"/>
      <c r="F60" s="560">
        <v>3</v>
      </c>
      <c r="G60" s="561"/>
      <c r="H60" s="563">
        <v>4</v>
      </c>
      <c r="I60" s="564"/>
      <c r="J60" s="563">
        <v>5</v>
      </c>
      <c r="K60" s="564"/>
      <c r="L60" s="563">
        <v>6</v>
      </c>
      <c r="M60" s="564"/>
      <c r="N60" s="563">
        <v>7</v>
      </c>
      <c r="O60" s="564"/>
    </row>
    <row r="61" spans="1:15" ht="30.75" customHeight="1">
      <c r="A61" s="543" t="s">
        <v>166</v>
      </c>
      <c r="B61" s="543"/>
      <c r="C61" s="543"/>
      <c r="D61" s="540">
        <f>SUM(D62:E64)</f>
        <v>0</v>
      </c>
      <c r="E61" s="541"/>
      <c r="F61" s="540">
        <f t="shared" ref="F61" si="7">SUM(F62:G64)</f>
        <v>124753.1</v>
      </c>
      <c r="G61" s="541"/>
      <c r="H61" s="540">
        <f t="shared" ref="H61" si="8">SUM(H62:I64)</f>
        <v>124753.1</v>
      </c>
      <c r="I61" s="541"/>
      <c r="J61" s="540">
        <f t="shared" ref="J61" si="9">SUM(J62:K64)</f>
        <v>48370.400000000001</v>
      </c>
      <c r="K61" s="541"/>
      <c r="L61" s="540">
        <f t="shared" ref="L61" si="10">SUM(L62:M64)</f>
        <v>48370.400000000001</v>
      </c>
      <c r="M61" s="541"/>
      <c r="N61" s="540">
        <f t="shared" ref="N61:N70" si="11">D61+H61-L61</f>
        <v>76382.700000000012</v>
      </c>
      <c r="O61" s="541"/>
    </row>
    <row r="62" spans="1:15" ht="30.75" customHeight="1">
      <c r="A62" s="543" t="s">
        <v>77</v>
      </c>
      <c r="B62" s="543"/>
      <c r="C62" s="543"/>
      <c r="D62" s="540"/>
      <c r="E62" s="541"/>
      <c r="F62" s="540"/>
      <c r="G62" s="541"/>
      <c r="H62" s="540"/>
      <c r="I62" s="541"/>
      <c r="J62" s="540"/>
      <c r="K62" s="541"/>
      <c r="L62" s="540"/>
      <c r="M62" s="541"/>
      <c r="N62" s="540">
        <f t="shared" si="11"/>
        <v>0</v>
      </c>
      <c r="O62" s="541"/>
    </row>
    <row r="63" spans="1:15" ht="30.75" customHeight="1">
      <c r="A63" s="542" t="s">
        <v>680</v>
      </c>
      <c r="B63" s="542"/>
      <c r="C63" s="542"/>
      <c r="D63" s="540">
        <v>0</v>
      </c>
      <c r="E63" s="541"/>
      <c r="F63" s="540">
        <v>89753.1</v>
      </c>
      <c r="G63" s="541"/>
      <c r="H63" s="540">
        <v>89753.1</v>
      </c>
      <c r="I63" s="541"/>
      <c r="J63" s="540">
        <v>47120.4</v>
      </c>
      <c r="K63" s="541"/>
      <c r="L63" s="585">
        <v>47120.4</v>
      </c>
      <c r="M63" s="586"/>
      <c r="N63" s="540">
        <f>D63+H63-L63</f>
        <v>42632.700000000004</v>
      </c>
      <c r="O63" s="541"/>
    </row>
    <row r="64" spans="1:15" ht="27.75" customHeight="1">
      <c r="A64" s="544" t="s">
        <v>681</v>
      </c>
      <c r="B64" s="545"/>
      <c r="C64" s="546"/>
      <c r="D64" s="540">
        <v>0</v>
      </c>
      <c r="E64" s="541"/>
      <c r="F64" s="540">
        <v>35000</v>
      </c>
      <c r="G64" s="541"/>
      <c r="H64" s="540">
        <v>35000</v>
      </c>
      <c r="I64" s="541"/>
      <c r="J64" s="540">
        <v>1250</v>
      </c>
      <c r="K64" s="541"/>
      <c r="L64" s="585">
        <v>1250</v>
      </c>
      <c r="M64" s="586"/>
      <c r="N64" s="585">
        <f>D64+H64-L64</f>
        <v>33750</v>
      </c>
      <c r="O64" s="586"/>
    </row>
    <row r="65" spans="1:18" s="207" customFormat="1" ht="30" customHeight="1">
      <c r="A65" s="543" t="s">
        <v>167</v>
      </c>
      <c r="B65" s="543"/>
      <c r="C65" s="543"/>
      <c r="D65" s="571">
        <f>D67+D68</f>
        <v>500</v>
      </c>
      <c r="E65" s="572"/>
      <c r="F65" s="571">
        <f t="shared" ref="F65" si="12">F67+F68</f>
        <v>3500</v>
      </c>
      <c r="G65" s="572"/>
      <c r="H65" s="571">
        <f t="shared" ref="H65" si="13">H67+H68</f>
        <v>6000</v>
      </c>
      <c r="I65" s="572"/>
      <c r="J65" s="571">
        <f t="shared" ref="J65" si="14">J67+J68</f>
        <v>3500</v>
      </c>
      <c r="K65" s="572"/>
      <c r="L65" s="571">
        <f t="shared" ref="L65" si="15">L67+L68</f>
        <v>3500</v>
      </c>
      <c r="M65" s="572"/>
      <c r="N65" s="540">
        <f>D65+H65-L65</f>
        <v>3000</v>
      </c>
      <c r="O65" s="541"/>
    </row>
    <row r="66" spans="1:18" s="207" customFormat="1" ht="30" customHeight="1">
      <c r="A66" s="543" t="s">
        <v>390</v>
      </c>
      <c r="B66" s="543"/>
      <c r="C66" s="543"/>
      <c r="D66" s="571"/>
      <c r="E66" s="572"/>
      <c r="F66" s="571"/>
      <c r="G66" s="572"/>
      <c r="H66" s="571"/>
      <c r="I66" s="572"/>
      <c r="J66" s="571"/>
      <c r="K66" s="572"/>
      <c r="L66" s="571"/>
      <c r="M66" s="572"/>
      <c r="N66" s="540">
        <f t="shared" si="11"/>
        <v>0</v>
      </c>
      <c r="O66" s="541"/>
    </row>
    <row r="67" spans="1:18" ht="30" customHeight="1">
      <c r="A67" s="543" t="s">
        <v>668</v>
      </c>
      <c r="B67" s="543"/>
      <c r="C67" s="543"/>
      <c r="D67" s="540">
        <v>500</v>
      </c>
      <c r="E67" s="541"/>
      <c r="F67" s="540">
        <v>3500</v>
      </c>
      <c r="G67" s="541"/>
      <c r="H67" s="540">
        <v>3000</v>
      </c>
      <c r="I67" s="541"/>
      <c r="J67" s="540">
        <v>3500</v>
      </c>
      <c r="K67" s="541"/>
      <c r="L67" s="540">
        <v>3500</v>
      </c>
      <c r="M67" s="541"/>
      <c r="N67" s="540">
        <f t="shared" si="11"/>
        <v>0</v>
      </c>
      <c r="O67" s="541"/>
    </row>
    <row r="68" spans="1:18" ht="30" customHeight="1">
      <c r="A68" s="543" t="s">
        <v>668</v>
      </c>
      <c r="B68" s="543"/>
      <c r="C68" s="543"/>
      <c r="D68" s="540">
        <v>0</v>
      </c>
      <c r="E68" s="541"/>
      <c r="F68" s="339"/>
      <c r="G68" s="340"/>
      <c r="H68" s="540">
        <v>3000</v>
      </c>
      <c r="I68" s="541"/>
      <c r="J68" s="339"/>
      <c r="K68" s="340"/>
      <c r="L68" s="540">
        <v>0</v>
      </c>
      <c r="M68" s="541"/>
      <c r="N68" s="540">
        <f t="shared" ref="N68" si="16">D68+H68-L68</f>
        <v>3000</v>
      </c>
      <c r="O68" s="541"/>
    </row>
    <row r="69" spans="1:18" ht="30" customHeight="1">
      <c r="A69" s="543" t="s">
        <v>168</v>
      </c>
      <c r="B69" s="543"/>
      <c r="C69" s="543"/>
      <c r="D69" s="540">
        <f>SUM(D71:E74)</f>
        <v>6676.5999999999995</v>
      </c>
      <c r="E69" s="541"/>
      <c r="F69" s="540">
        <f t="shared" ref="F69" si="17">SUM(F71:G74)</f>
        <v>0</v>
      </c>
      <c r="G69" s="541"/>
      <c r="H69" s="540">
        <f t="shared" ref="H69" si="18">SUM(H71:I74)</f>
        <v>0</v>
      </c>
      <c r="I69" s="541"/>
      <c r="J69" s="540">
        <f t="shared" ref="J69" si="19">SUM(J71:K74)</f>
        <v>2202.1999999999998</v>
      </c>
      <c r="K69" s="541"/>
      <c r="L69" s="540">
        <f t="shared" ref="L69" si="20">SUM(L71:M74)</f>
        <v>2203.1</v>
      </c>
      <c r="M69" s="541"/>
      <c r="N69" s="540">
        <f t="shared" si="11"/>
        <v>4473.5</v>
      </c>
      <c r="O69" s="541"/>
    </row>
    <row r="70" spans="1:18" ht="19.5" customHeight="1">
      <c r="A70" s="543" t="s">
        <v>77</v>
      </c>
      <c r="B70" s="543"/>
      <c r="C70" s="543"/>
      <c r="D70" s="540"/>
      <c r="E70" s="541"/>
      <c r="F70" s="540"/>
      <c r="G70" s="541"/>
      <c r="H70" s="540"/>
      <c r="I70" s="541"/>
      <c r="J70" s="540"/>
      <c r="K70" s="541"/>
      <c r="L70" s="540"/>
      <c r="M70" s="541"/>
      <c r="N70" s="540">
        <f t="shared" si="11"/>
        <v>0</v>
      </c>
      <c r="O70" s="541"/>
    </row>
    <row r="71" spans="1:18" ht="30" customHeight="1">
      <c r="A71" s="542" t="s">
        <v>682</v>
      </c>
      <c r="B71" s="542"/>
      <c r="C71" s="542"/>
      <c r="D71" s="540">
        <v>103.6</v>
      </c>
      <c r="E71" s="541"/>
      <c r="F71" s="540"/>
      <c r="G71" s="541"/>
      <c r="H71" s="540"/>
      <c r="I71" s="541"/>
      <c r="J71" s="540">
        <v>103.6</v>
      </c>
      <c r="K71" s="541"/>
      <c r="L71" s="540">
        <v>103.6</v>
      </c>
      <c r="M71" s="541"/>
      <c r="N71" s="540">
        <f>D71+H71-L71</f>
        <v>0</v>
      </c>
      <c r="O71" s="541"/>
    </row>
    <row r="72" spans="1:18" ht="30" customHeight="1">
      <c r="A72" s="542" t="s">
        <v>683</v>
      </c>
      <c r="B72" s="542"/>
      <c r="C72" s="542"/>
      <c r="D72" s="540">
        <v>100.6</v>
      </c>
      <c r="E72" s="541"/>
      <c r="F72" s="540"/>
      <c r="G72" s="541"/>
      <c r="H72" s="540"/>
      <c r="I72" s="541"/>
      <c r="J72" s="540">
        <v>100.6</v>
      </c>
      <c r="K72" s="541"/>
      <c r="L72" s="540">
        <v>100.6</v>
      </c>
      <c r="M72" s="541"/>
      <c r="N72" s="540">
        <f t="shared" ref="N72:N73" si="21">D72+H72-L72</f>
        <v>0</v>
      </c>
      <c r="O72" s="541"/>
    </row>
    <row r="73" spans="1:18" ht="30" customHeight="1">
      <c r="A73" s="542" t="s">
        <v>684</v>
      </c>
      <c r="B73" s="542"/>
      <c r="C73" s="542"/>
      <c r="D73" s="540">
        <v>5803.7</v>
      </c>
      <c r="E73" s="541"/>
      <c r="F73" s="339"/>
      <c r="G73" s="340"/>
      <c r="H73" s="339"/>
      <c r="I73" s="340"/>
      <c r="J73" s="540">
        <v>1803.3</v>
      </c>
      <c r="K73" s="541"/>
      <c r="L73" s="540">
        <v>1803.2</v>
      </c>
      <c r="M73" s="541"/>
      <c r="N73" s="540">
        <f t="shared" si="21"/>
        <v>4000.5</v>
      </c>
      <c r="O73" s="541"/>
    </row>
    <row r="74" spans="1:18" ht="30" customHeight="1">
      <c r="A74" s="544" t="s">
        <v>682</v>
      </c>
      <c r="B74" s="545"/>
      <c r="C74" s="546"/>
      <c r="D74" s="540">
        <v>668.7</v>
      </c>
      <c r="E74" s="541"/>
      <c r="F74" s="540"/>
      <c r="G74" s="541"/>
      <c r="H74" s="540"/>
      <c r="I74" s="541"/>
      <c r="J74" s="540">
        <v>194.7</v>
      </c>
      <c r="K74" s="541"/>
      <c r="L74" s="540">
        <v>195.7</v>
      </c>
      <c r="M74" s="541"/>
      <c r="N74" s="540">
        <f>D74+H74-L74</f>
        <v>473.00000000000006</v>
      </c>
      <c r="O74" s="541"/>
    </row>
    <row r="75" spans="1:18" ht="51" customHeight="1">
      <c r="A75" s="568" t="s">
        <v>49</v>
      </c>
      <c r="B75" s="569"/>
      <c r="C75" s="570"/>
      <c r="D75" s="590">
        <f>D61+D65+D69</f>
        <v>7176.5999999999995</v>
      </c>
      <c r="E75" s="591"/>
      <c r="F75" s="590">
        <f t="shared" ref="F75" si="22">F61+F65+F69</f>
        <v>128253.1</v>
      </c>
      <c r="G75" s="591"/>
      <c r="H75" s="590">
        <f t="shared" ref="H75" si="23">H61+H65+H69</f>
        <v>130753.1</v>
      </c>
      <c r="I75" s="591"/>
      <c r="J75" s="590">
        <f t="shared" ref="J75" si="24">J61+J65+J69</f>
        <v>54072.6</v>
      </c>
      <c r="K75" s="591"/>
      <c r="L75" s="590">
        <f t="shared" ref="L75:N75" si="25">L61+L65+L69</f>
        <v>54073.5</v>
      </c>
      <c r="M75" s="591"/>
      <c r="N75" s="590">
        <f t="shared" si="25"/>
        <v>83856.200000000012</v>
      </c>
      <c r="O75" s="591"/>
      <c r="P75" s="536"/>
      <c r="Q75" s="537"/>
      <c r="R75" s="537"/>
    </row>
    <row r="76" spans="1:18">
      <c r="C76" s="32"/>
      <c r="D76" s="32"/>
      <c r="E76" s="32"/>
    </row>
    <row r="77" spans="1:18">
      <c r="C77" s="32"/>
      <c r="D77" s="32"/>
      <c r="E77" s="32"/>
    </row>
    <row r="78" spans="1:18">
      <c r="A78" s="348"/>
      <c r="C78" s="32"/>
      <c r="D78" s="32"/>
      <c r="E78" s="32"/>
    </row>
    <row r="79" spans="1:18">
      <c r="A79" s="30"/>
      <c r="C79" s="32"/>
      <c r="D79" s="32"/>
      <c r="E79" s="32"/>
      <c r="F79" s="30"/>
      <c r="G79" s="30"/>
      <c r="L79" s="547"/>
      <c r="M79" s="548"/>
      <c r="N79" s="548"/>
      <c r="O79" s="548"/>
    </row>
    <row r="80" spans="1:18">
      <c r="C80" s="32"/>
      <c r="D80" s="32"/>
      <c r="E80" s="32"/>
    </row>
    <row r="81" spans="3:5">
      <c r="C81" s="32"/>
      <c r="D81" s="32"/>
      <c r="E81" s="32"/>
    </row>
    <row r="82" spans="3:5">
      <c r="C82" s="32"/>
      <c r="D82" s="32"/>
      <c r="E82" s="32"/>
    </row>
    <row r="83" spans="3:5">
      <c r="C83" s="32"/>
      <c r="D83" s="32"/>
      <c r="E83" s="32"/>
    </row>
    <row r="84" spans="3:5">
      <c r="C84" s="32"/>
      <c r="D84" s="32"/>
      <c r="E84" s="32"/>
    </row>
    <row r="85" spans="3:5">
      <c r="C85" s="32"/>
      <c r="D85" s="32"/>
      <c r="E85" s="32"/>
    </row>
    <row r="86" spans="3:5">
      <c r="C86" s="32"/>
      <c r="D86" s="32"/>
      <c r="E86" s="32"/>
    </row>
    <row r="87" spans="3:5">
      <c r="C87" s="32"/>
      <c r="D87" s="32"/>
      <c r="E87" s="32"/>
    </row>
    <row r="88" spans="3:5">
      <c r="C88" s="32"/>
      <c r="D88" s="32"/>
      <c r="E88" s="32"/>
    </row>
    <row r="89" spans="3:5">
      <c r="C89" s="32"/>
      <c r="D89" s="32"/>
      <c r="E89" s="32"/>
    </row>
  </sheetData>
  <mergeCells count="320">
    <mergeCell ref="N62:O62"/>
    <mergeCell ref="N63:O63"/>
    <mergeCell ref="N66:O66"/>
    <mergeCell ref="N73:O73"/>
    <mergeCell ref="N74:O74"/>
    <mergeCell ref="J65:K65"/>
    <mergeCell ref="H62:I62"/>
    <mergeCell ref="H63:I63"/>
    <mergeCell ref="H66:I66"/>
    <mergeCell ref="H74:I74"/>
    <mergeCell ref="J62:K62"/>
    <mergeCell ref="J63:K63"/>
    <mergeCell ref="J66:K66"/>
    <mergeCell ref="J74:K74"/>
    <mergeCell ref="L62:M62"/>
    <mergeCell ref="L63:M63"/>
    <mergeCell ref="L66:M66"/>
    <mergeCell ref="L74:M74"/>
    <mergeCell ref="H68:I68"/>
    <mergeCell ref="L68:M68"/>
    <mergeCell ref="N68:O68"/>
    <mergeCell ref="L73:M73"/>
    <mergeCell ref="J73:K73"/>
    <mergeCell ref="M46:O46"/>
    <mergeCell ref="M47:O47"/>
    <mergeCell ref="M48:O48"/>
    <mergeCell ref="M49:O49"/>
    <mergeCell ref="M50:O50"/>
    <mergeCell ref="M52:O52"/>
    <mergeCell ref="D52:E52"/>
    <mergeCell ref="F46:G46"/>
    <mergeCell ref="F47:G47"/>
    <mergeCell ref="F48:G48"/>
    <mergeCell ref="F49:G49"/>
    <mergeCell ref="F50:G50"/>
    <mergeCell ref="F52:G52"/>
    <mergeCell ref="H46:J46"/>
    <mergeCell ref="H47:J47"/>
    <mergeCell ref="H48:J48"/>
    <mergeCell ref="H49:J49"/>
    <mergeCell ref="H50:J50"/>
    <mergeCell ref="H52:J52"/>
    <mergeCell ref="K46:L46"/>
    <mergeCell ref="K47:L47"/>
    <mergeCell ref="K48:L48"/>
    <mergeCell ref="K49:L49"/>
    <mergeCell ref="K50:L50"/>
    <mergeCell ref="A31:C32"/>
    <mergeCell ref="A40:C40"/>
    <mergeCell ref="A33:C33"/>
    <mergeCell ref="D53:E53"/>
    <mergeCell ref="D45:E45"/>
    <mergeCell ref="B45:C45"/>
    <mergeCell ref="A39:C39"/>
    <mergeCell ref="L18:M18"/>
    <mergeCell ref="L19:M19"/>
    <mergeCell ref="L20:M20"/>
    <mergeCell ref="L25:M25"/>
    <mergeCell ref="I25:K25"/>
    <mergeCell ref="C25:E25"/>
    <mergeCell ref="A34:C34"/>
    <mergeCell ref="A35:C35"/>
    <mergeCell ref="A36:C36"/>
    <mergeCell ref="A37:C37"/>
    <mergeCell ref="A38:C38"/>
    <mergeCell ref="B46:C46"/>
    <mergeCell ref="B47:C47"/>
    <mergeCell ref="B48:C48"/>
    <mergeCell ref="B49:C49"/>
    <mergeCell ref="B50:C50"/>
    <mergeCell ref="B52:C52"/>
    <mergeCell ref="N21:O21"/>
    <mergeCell ref="N22:O22"/>
    <mergeCell ref="N23:O23"/>
    <mergeCell ref="I21:K21"/>
    <mergeCell ref="I22:K22"/>
    <mergeCell ref="L21:M21"/>
    <mergeCell ref="I24:K24"/>
    <mergeCell ref="I23:K23"/>
    <mergeCell ref="C19:E19"/>
    <mergeCell ref="C20:E20"/>
    <mergeCell ref="C21:E21"/>
    <mergeCell ref="C22:E22"/>
    <mergeCell ref="L23:M23"/>
    <mergeCell ref="L24:M24"/>
    <mergeCell ref="F24:H24"/>
    <mergeCell ref="C23:E23"/>
    <mergeCell ref="C24:E24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N24:O24"/>
    <mergeCell ref="N75:O75"/>
    <mergeCell ref="F75:G75"/>
    <mergeCell ref="H75:I75"/>
    <mergeCell ref="J75:K75"/>
    <mergeCell ref="L75:M75"/>
    <mergeCell ref="D75:E75"/>
    <mergeCell ref="L69:M69"/>
    <mergeCell ref="J69:K69"/>
    <mergeCell ref="H45:J45"/>
    <mergeCell ref="H54:J54"/>
    <mergeCell ref="F61:G61"/>
    <mergeCell ref="H59:I59"/>
    <mergeCell ref="H65:I65"/>
    <mergeCell ref="H70:I70"/>
    <mergeCell ref="F65:G65"/>
    <mergeCell ref="J58:M58"/>
    <mergeCell ref="M45:O45"/>
    <mergeCell ref="M54:O54"/>
    <mergeCell ref="A56:O56"/>
    <mergeCell ref="B54:C54"/>
    <mergeCell ref="D54:E54"/>
    <mergeCell ref="F54:G54"/>
    <mergeCell ref="D58:E59"/>
    <mergeCell ref="A58:C59"/>
    <mergeCell ref="F45:G45"/>
    <mergeCell ref="D46:E46"/>
    <mergeCell ref="D47:E47"/>
    <mergeCell ref="D48:E48"/>
    <mergeCell ref="D49:E49"/>
    <mergeCell ref="D50:E50"/>
    <mergeCell ref="N72:O72"/>
    <mergeCell ref="L72:M72"/>
    <mergeCell ref="H72:I72"/>
    <mergeCell ref="L67:M67"/>
    <mergeCell ref="H69:I69"/>
    <mergeCell ref="F59:G59"/>
    <mergeCell ref="N70:O70"/>
    <mergeCell ref="H71:I71"/>
    <mergeCell ref="J71:K71"/>
    <mergeCell ref="L71:M71"/>
    <mergeCell ref="N71:O71"/>
    <mergeCell ref="J70:K70"/>
    <mergeCell ref="L70:M70"/>
    <mergeCell ref="L61:M61"/>
    <mergeCell ref="N69:O69"/>
    <mergeCell ref="N61:O61"/>
    <mergeCell ref="J61:K61"/>
    <mergeCell ref="H61:I61"/>
    <mergeCell ref="J59:K59"/>
    <mergeCell ref="L59:M59"/>
    <mergeCell ref="N58:O59"/>
    <mergeCell ref="F58:I58"/>
    <mergeCell ref="J72:K72"/>
    <mergeCell ref="J64:K64"/>
    <mergeCell ref="A61:C61"/>
    <mergeCell ref="A60:C60"/>
    <mergeCell ref="L60:M60"/>
    <mergeCell ref="N60:O60"/>
    <mergeCell ref="N65:O65"/>
    <mergeCell ref="D64:E64"/>
    <mergeCell ref="F64:G64"/>
    <mergeCell ref="H67:I67"/>
    <mergeCell ref="J67:K67"/>
    <mergeCell ref="H64:I64"/>
    <mergeCell ref="N64:O64"/>
    <mergeCell ref="N67:O67"/>
    <mergeCell ref="L64:M64"/>
    <mergeCell ref="F60:G60"/>
    <mergeCell ref="D60:E60"/>
    <mergeCell ref="D61:E61"/>
    <mergeCell ref="A64:C64"/>
    <mergeCell ref="L65:M65"/>
    <mergeCell ref="A62:C62"/>
    <mergeCell ref="A63:C63"/>
    <mergeCell ref="A66:C66"/>
    <mergeCell ref="D62:E62"/>
    <mergeCell ref="D72:E72"/>
    <mergeCell ref="F72:G72"/>
    <mergeCell ref="A65:C65"/>
    <mergeCell ref="D69:E69"/>
    <mergeCell ref="A69:C69"/>
    <mergeCell ref="F69:G69"/>
    <mergeCell ref="D67:E67"/>
    <mergeCell ref="F67:G67"/>
    <mergeCell ref="D63:E63"/>
    <mergeCell ref="D66:E66"/>
    <mergeCell ref="F66:G66"/>
    <mergeCell ref="F63:G63"/>
    <mergeCell ref="F62:G62"/>
    <mergeCell ref="A68:C68"/>
    <mergeCell ref="D68:E68"/>
    <mergeCell ref="A2:O2"/>
    <mergeCell ref="A3:O3"/>
    <mergeCell ref="I11:K11"/>
    <mergeCell ref="F53:G53"/>
    <mergeCell ref="D44:E44"/>
    <mergeCell ref="J31:L31"/>
    <mergeCell ref="M31:O31"/>
    <mergeCell ref="A42:O42"/>
    <mergeCell ref="F44:G44"/>
    <mergeCell ref="H44:J44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L79:O79"/>
    <mergeCell ref="C15:E15"/>
    <mergeCell ref="C16:E16"/>
    <mergeCell ref="C17:E17"/>
    <mergeCell ref="A24:B24"/>
    <mergeCell ref="N15:O15"/>
    <mergeCell ref="N16:O16"/>
    <mergeCell ref="A27:O27"/>
    <mergeCell ref="F16:H16"/>
    <mergeCell ref="M53:O53"/>
    <mergeCell ref="K53:L53"/>
    <mergeCell ref="K45:L45"/>
    <mergeCell ref="B53:C53"/>
    <mergeCell ref="H53:J53"/>
    <mergeCell ref="K44:L44"/>
    <mergeCell ref="M44:O44"/>
    <mergeCell ref="B44:C44"/>
    <mergeCell ref="H60:I60"/>
    <mergeCell ref="K54:L54"/>
    <mergeCell ref="J60:K60"/>
    <mergeCell ref="L15:M15"/>
    <mergeCell ref="A75:C75"/>
    <mergeCell ref="D65:E65"/>
    <mergeCell ref="A72:C72"/>
    <mergeCell ref="K52:L52"/>
    <mergeCell ref="B51:C51"/>
    <mergeCell ref="D51:E51"/>
    <mergeCell ref="F51:G51"/>
    <mergeCell ref="H51:J51"/>
    <mergeCell ref="K51:L51"/>
    <mergeCell ref="M51:O51"/>
    <mergeCell ref="P75:R75"/>
    <mergeCell ref="W25:Y25"/>
    <mergeCell ref="W26:Y26"/>
    <mergeCell ref="W27:Y27"/>
    <mergeCell ref="W28:Y28"/>
    <mergeCell ref="D70:E70"/>
    <mergeCell ref="F70:G70"/>
    <mergeCell ref="A71:C71"/>
    <mergeCell ref="A70:C70"/>
    <mergeCell ref="A67:C67"/>
    <mergeCell ref="D71:E71"/>
    <mergeCell ref="F71:G71"/>
    <mergeCell ref="A73:C73"/>
    <mergeCell ref="A74:C74"/>
    <mergeCell ref="D73:E73"/>
    <mergeCell ref="D74:E74"/>
    <mergeCell ref="F74:G74"/>
  </mergeCells>
  <phoneticPr fontId="3" type="noConversion"/>
  <pageMargins left="0.59055118110236227" right="0.59055118110236227" top="0.98425196850393704" bottom="0.59055118110236227" header="0.31496062992125984" footer="0.19685039370078741"/>
  <pageSetup paperSize="9" scale="49" fitToHeight="0" orientation="landscape" blackAndWhite="1" horizontalDpi="1200" verticalDpi="1200" r:id="rId1"/>
  <headerFooter alignWithMargins="0"/>
  <rowBreaks count="2" manualBreakCount="2">
    <brk id="28" max="14" man="1"/>
    <brk id="54" max="16383" man="1"/>
  </rowBreaks>
  <ignoredErrors>
    <ignoredError sqref="J22:K22 O10" evalError="1"/>
    <ignoredError sqref="E40:F40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F88"/>
  <sheetViews>
    <sheetView tabSelected="1" view="pageBreakPreview" topLeftCell="A40" zoomScale="50" zoomScaleNormal="50" zoomScaleSheetLayoutView="50" workbookViewId="0">
      <selection activeCell="AB60" sqref="AB60"/>
    </sheetView>
  </sheetViews>
  <sheetFormatPr defaultColWidth="9.109375" defaultRowHeight="18"/>
  <cols>
    <col min="1" max="2" width="4.44140625" style="347" customWidth="1"/>
    <col min="3" max="3" width="34.88671875" style="347" customWidth="1"/>
    <col min="4" max="6" width="8.44140625" style="347" customWidth="1"/>
    <col min="7" max="9" width="11.33203125" style="347" customWidth="1"/>
    <col min="10" max="10" width="8.6640625" style="347" customWidth="1"/>
    <col min="11" max="11" width="10.109375" style="347" customWidth="1"/>
    <col min="12" max="12" width="9" style="347" customWidth="1"/>
    <col min="13" max="13" width="12.33203125" style="347" customWidth="1"/>
    <col min="14" max="14" width="12.5546875" style="347" customWidth="1"/>
    <col min="15" max="15" width="14.5546875" style="347" customWidth="1"/>
    <col min="16" max="16" width="14" style="347" customWidth="1"/>
    <col min="17" max="17" width="12.5546875" style="347" customWidth="1"/>
    <col min="18" max="18" width="15.44140625" style="347" customWidth="1"/>
    <col min="19" max="19" width="14.5546875" style="347" customWidth="1"/>
    <col min="20" max="20" width="14" style="347" customWidth="1"/>
    <col min="21" max="21" width="12.5546875" style="347" customWidth="1"/>
    <col min="22" max="22" width="12.33203125" style="347" customWidth="1"/>
    <col min="23" max="23" width="14.88671875" style="347" customWidth="1"/>
    <col min="24" max="24" width="14" style="347" customWidth="1"/>
    <col min="25" max="25" width="12.5546875" style="347" customWidth="1"/>
    <col min="26" max="26" width="12.33203125" style="347" customWidth="1"/>
    <col min="27" max="27" width="14.5546875" style="347" customWidth="1"/>
    <col min="28" max="28" width="14.44140625" style="347" customWidth="1"/>
    <col min="29" max="31" width="14.5546875" style="347" customWidth="1"/>
    <col min="32" max="32" width="14" style="347" customWidth="1"/>
    <col min="33" max="16384" width="9.109375" style="347"/>
  </cols>
  <sheetData>
    <row r="1" spans="1:32" ht="18.75" customHeight="1"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463" t="s">
        <v>348</v>
      </c>
      <c r="AE1" s="463"/>
      <c r="AF1" s="463"/>
    </row>
    <row r="2" spans="1:32" ht="18.75" customHeight="1">
      <c r="C2" s="83" t="s">
        <v>339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</row>
    <row r="3" spans="1:3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10" t="s">
        <v>366</v>
      </c>
    </row>
    <row r="4" spans="1:32" ht="45.75" customHeight="1">
      <c r="A4" s="654" t="s">
        <v>46</v>
      </c>
      <c r="B4" s="646" t="s">
        <v>118</v>
      </c>
      <c r="C4" s="647"/>
      <c r="D4" s="596" t="s">
        <v>119</v>
      </c>
      <c r="E4" s="597"/>
      <c r="F4" s="597"/>
      <c r="G4" s="596" t="s">
        <v>183</v>
      </c>
      <c r="H4" s="597"/>
      <c r="I4" s="597"/>
      <c r="J4" s="597"/>
      <c r="K4" s="597"/>
      <c r="L4" s="597"/>
      <c r="M4" s="597"/>
      <c r="N4" s="597"/>
      <c r="O4" s="597"/>
      <c r="P4" s="597"/>
      <c r="Q4" s="598"/>
      <c r="R4" s="563" t="s">
        <v>120</v>
      </c>
      <c r="S4" s="593"/>
      <c r="T4" s="593"/>
      <c r="U4" s="593"/>
      <c r="V4" s="593"/>
      <c r="W4" s="593"/>
      <c r="X4" s="593"/>
      <c r="Y4" s="593"/>
      <c r="Z4" s="564"/>
      <c r="AA4" s="441" t="s">
        <v>315</v>
      </c>
      <c r="AB4" s="440"/>
      <c r="AC4" s="440"/>
      <c r="AD4" s="441" t="s">
        <v>316</v>
      </c>
      <c r="AE4" s="440"/>
      <c r="AF4" s="440"/>
    </row>
    <row r="5" spans="1:32" ht="77.25" customHeight="1">
      <c r="A5" s="655"/>
      <c r="B5" s="650"/>
      <c r="C5" s="651"/>
      <c r="D5" s="599"/>
      <c r="E5" s="600"/>
      <c r="F5" s="600"/>
      <c r="G5" s="599"/>
      <c r="H5" s="600"/>
      <c r="I5" s="600"/>
      <c r="J5" s="600"/>
      <c r="K5" s="600"/>
      <c r="L5" s="600"/>
      <c r="M5" s="600"/>
      <c r="N5" s="600"/>
      <c r="O5" s="600"/>
      <c r="P5" s="600"/>
      <c r="Q5" s="601"/>
      <c r="R5" s="560" t="s">
        <v>445</v>
      </c>
      <c r="S5" s="562"/>
      <c r="T5" s="561"/>
      <c r="U5" s="560" t="s">
        <v>446</v>
      </c>
      <c r="V5" s="562"/>
      <c r="W5" s="561"/>
      <c r="X5" s="560" t="s">
        <v>447</v>
      </c>
      <c r="Y5" s="562"/>
      <c r="Z5" s="561"/>
      <c r="AA5" s="440"/>
      <c r="AB5" s="440"/>
      <c r="AC5" s="440"/>
      <c r="AD5" s="440"/>
      <c r="AE5" s="440"/>
      <c r="AF5" s="440"/>
    </row>
    <row r="6" spans="1:32" ht="28.5" customHeight="1">
      <c r="A6" s="84">
        <v>1</v>
      </c>
      <c r="B6" s="652">
        <v>2</v>
      </c>
      <c r="C6" s="653"/>
      <c r="D6" s="560">
        <v>3</v>
      </c>
      <c r="E6" s="562"/>
      <c r="F6" s="562"/>
      <c r="G6" s="560">
        <v>4</v>
      </c>
      <c r="H6" s="562"/>
      <c r="I6" s="562"/>
      <c r="J6" s="562"/>
      <c r="K6" s="562"/>
      <c r="L6" s="562"/>
      <c r="M6" s="562"/>
      <c r="N6" s="562"/>
      <c r="O6" s="562"/>
      <c r="P6" s="562"/>
      <c r="Q6" s="561"/>
      <c r="R6" s="560">
        <v>5</v>
      </c>
      <c r="S6" s="562"/>
      <c r="T6" s="561"/>
      <c r="U6" s="560">
        <v>6</v>
      </c>
      <c r="V6" s="562"/>
      <c r="W6" s="561"/>
      <c r="X6" s="563">
        <v>7</v>
      </c>
      <c r="Y6" s="593"/>
      <c r="Z6" s="564"/>
      <c r="AA6" s="563">
        <v>8</v>
      </c>
      <c r="AB6" s="593"/>
      <c r="AC6" s="564"/>
      <c r="AD6" s="563">
        <v>9</v>
      </c>
      <c r="AE6" s="593"/>
      <c r="AF6" s="564"/>
    </row>
    <row r="7" spans="1:32" ht="28.5" customHeight="1">
      <c r="A7" s="84"/>
      <c r="B7" s="659" t="s">
        <v>625</v>
      </c>
      <c r="C7" s="660"/>
      <c r="D7" s="656">
        <v>39903</v>
      </c>
      <c r="E7" s="562"/>
      <c r="F7" s="561"/>
      <c r="G7" s="629" t="s">
        <v>630</v>
      </c>
      <c r="H7" s="630"/>
      <c r="I7" s="630"/>
      <c r="J7" s="630"/>
      <c r="K7" s="630"/>
      <c r="L7" s="630"/>
      <c r="M7" s="630"/>
      <c r="N7" s="630"/>
      <c r="O7" s="630"/>
      <c r="P7" s="630"/>
      <c r="Q7" s="631"/>
      <c r="R7" s="540">
        <v>223</v>
      </c>
      <c r="S7" s="632"/>
      <c r="T7" s="541"/>
      <c r="U7" s="540">
        <v>314.5</v>
      </c>
      <c r="V7" s="632"/>
      <c r="W7" s="541"/>
      <c r="X7" s="587">
        <v>156</v>
      </c>
      <c r="Y7" s="619"/>
      <c r="Z7" s="588"/>
      <c r="AA7" s="661">
        <f t="shared" ref="AA7:AA9" si="0">X7-U7</f>
        <v>-158.5</v>
      </c>
      <c r="AB7" s="662"/>
      <c r="AC7" s="663"/>
      <c r="AD7" s="665">
        <f t="shared" ref="AD7:AD9" si="1">(X7/U7)*100</f>
        <v>49.602543720190781</v>
      </c>
      <c r="AE7" s="666"/>
      <c r="AF7" s="667"/>
    </row>
    <row r="8" spans="1:32" ht="28.5" customHeight="1">
      <c r="A8" s="84"/>
      <c r="B8" s="659" t="s">
        <v>626</v>
      </c>
      <c r="C8" s="660"/>
      <c r="D8" s="656">
        <v>34090</v>
      </c>
      <c r="E8" s="562"/>
      <c r="F8" s="561"/>
      <c r="G8" s="629" t="s">
        <v>630</v>
      </c>
      <c r="H8" s="630"/>
      <c r="I8" s="630"/>
      <c r="J8" s="630"/>
      <c r="K8" s="630"/>
      <c r="L8" s="630"/>
      <c r="M8" s="630"/>
      <c r="N8" s="630"/>
      <c r="O8" s="630"/>
      <c r="P8" s="630"/>
      <c r="Q8" s="631"/>
      <c r="R8" s="540">
        <v>296.2</v>
      </c>
      <c r="S8" s="632"/>
      <c r="T8" s="541"/>
      <c r="U8" s="540">
        <v>358.8</v>
      </c>
      <c r="V8" s="632"/>
      <c r="W8" s="541"/>
      <c r="X8" s="587">
        <v>181.5</v>
      </c>
      <c r="Y8" s="619"/>
      <c r="Z8" s="588"/>
      <c r="AA8" s="661">
        <f t="shared" si="0"/>
        <v>-177.3</v>
      </c>
      <c r="AB8" s="662"/>
      <c r="AC8" s="663"/>
      <c r="AD8" s="665">
        <f t="shared" si="1"/>
        <v>50.585284280936449</v>
      </c>
      <c r="AE8" s="666"/>
      <c r="AF8" s="667"/>
    </row>
    <row r="9" spans="1:32" ht="28.5" customHeight="1">
      <c r="A9" s="84"/>
      <c r="B9" s="659" t="s">
        <v>627</v>
      </c>
      <c r="C9" s="660"/>
      <c r="D9" s="656">
        <v>41578</v>
      </c>
      <c r="E9" s="562"/>
      <c r="F9" s="561"/>
      <c r="G9" s="629" t="s">
        <v>630</v>
      </c>
      <c r="H9" s="630"/>
      <c r="I9" s="630"/>
      <c r="J9" s="630"/>
      <c r="K9" s="630"/>
      <c r="L9" s="630"/>
      <c r="M9" s="630"/>
      <c r="N9" s="630"/>
      <c r="O9" s="630"/>
      <c r="P9" s="630"/>
      <c r="Q9" s="631"/>
      <c r="R9" s="540">
        <v>275.3</v>
      </c>
      <c r="S9" s="632"/>
      <c r="T9" s="541"/>
      <c r="U9" s="540">
        <v>319.3</v>
      </c>
      <c r="V9" s="632"/>
      <c r="W9" s="541"/>
      <c r="X9" s="587">
        <v>192</v>
      </c>
      <c r="Y9" s="619"/>
      <c r="Z9" s="588"/>
      <c r="AA9" s="661">
        <f t="shared" si="0"/>
        <v>-127.30000000000001</v>
      </c>
      <c r="AB9" s="662"/>
      <c r="AC9" s="663"/>
      <c r="AD9" s="665">
        <f t="shared" si="1"/>
        <v>60.13153773880363</v>
      </c>
      <c r="AE9" s="666"/>
      <c r="AF9" s="667"/>
    </row>
    <row r="10" spans="1:32" ht="34.5" customHeight="1">
      <c r="A10" s="84"/>
      <c r="B10" s="659" t="s">
        <v>628</v>
      </c>
      <c r="C10" s="660"/>
      <c r="D10" s="656">
        <v>42881</v>
      </c>
      <c r="E10" s="657"/>
      <c r="F10" s="658"/>
      <c r="G10" s="629" t="s">
        <v>630</v>
      </c>
      <c r="H10" s="630"/>
      <c r="I10" s="630"/>
      <c r="J10" s="630"/>
      <c r="K10" s="630"/>
      <c r="L10" s="630"/>
      <c r="M10" s="630"/>
      <c r="N10" s="630"/>
      <c r="O10" s="630"/>
      <c r="P10" s="630"/>
      <c r="Q10" s="631"/>
      <c r="R10" s="540">
        <v>170.3</v>
      </c>
      <c r="S10" s="632"/>
      <c r="T10" s="541"/>
      <c r="U10" s="540">
        <v>292.5</v>
      </c>
      <c r="V10" s="632"/>
      <c r="W10" s="541"/>
      <c r="X10" s="540">
        <v>139</v>
      </c>
      <c r="Y10" s="632"/>
      <c r="Z10" s="541"/>
      <c r="AA10" s="661">
        <f>X10-U10</f>
        <v>-153.5</v>
      </c>
      <c r="AB10" s="662"/>
      <c r="AC10" s="663"/>
      <c r="AD10" s="665">
        <f>(X10/U10)*100</f>
        <v>47.521367521367516</v>
      </c>
      <c r="AE10" s="666"/>
      <c r="AF10" s="667"/>
    </row>
    <row r="11" spans="1:32" ht="34.5" customHeight="1">
      <c r="A11" s="84"/>
      <c r="B11" s="659" t="s">
        <v>629</v>
      </c>
      <c r="C11" s="660"/>
      <c r="D11" s="656">
        <v>43404</v>
      </c>
      <c r="E11" s="657"/>
      <c r="F11" s="658"/>
      <c r="G11" s="629" t="s">
        <v>630</v>
      </c>
      <c r="H11" s="630"/>
      <c r="I11" s="630"/>
      <c r="J11" s="630"/>
      <c r="K11" s="630"/>
      <c r="L11" s="630"/>
      <c r="M11" s="630"/>
      <c r="N11" s="630"/>
      <c r="O11" s="630"/>
      <c r="P11" s="630"/>
      <c r="Q11" s="631"/>
      <c r="R11" s="540"/>
      <c r="S11" s="632"/>
      <c r="T11" s="541"/>
      <c r="U11" s="540">
        <v>301.3</v>
      </c>
      <c r="V11" s="632"/>
      <c r="W11" s="541"/>
      <c r="X11" s="540">
        <v>147.4</v>
      </c>
      <c r="Y11" s="632"/>
      <c r="Z11" s="541"/>
      <c r="AA11" s="668">
        <f>X11-U11</f>
        <v>-153.9</v>
      </c>
      <c r="AB11" s="669"/>
      <c r="AC11" s="670"/>
      <c r="AD11" s="665">
        <f>(X11/U11)*100</f>
        <v>48.921340856289412</v>
      </c>
      <c r="AE11" s="666"/>
      <c r="AF11" s="667"/>
    </row>
    <row r="12" spans="1:32" ht="37.5" customHeight="1">
      <c r="A12" s="643" t="s">
        <v>49</v>
      </c>
      <c r="B12" s="644"/>
      <c r="C12" s="644"/>
      <c r="D12" s="644"/>
      <c r="E12" s="644"/>
      <c r="F12" s="644"/>
      <c r="G12" s="644"/>
      <c r="H12" s="644"/>
      <c r="I12" s="644"/>
      <c r="J12" s="644"/>
      <c r="K12" s="644"/>
      <c r="L12" s="644"/>
      <c r="M12" s="644"/>
      <c r="N12" s="644"/>
      <c r="O12" s="644"/>
      <c r="P12" s="644"/>
      <c r="Q12" s="645"/>
      <c r="R12" s="590">
        <f>SUM(R7:R11)</f>
        <v>964.8</v>
      </c>
      <c r="S12" s="664"/>
      <c r="T12" s="591"/>
      <c r="U12" s="590">
        <f>SUM(U7:U11)</f>
        <v>1586.3999999999999</v>
      </c>
      <c r="V12" s="664"/>
      <c r="W12" s="591"/>
      <c r="X12" s="590">
        <f>SUM(X7:X11)</f>
        <v>815.9</v>
      </c>
      <c r="Y12" s="664"/>
      <c r="Z12" s="591"/>
      <c r="AA12" s="636">
        <f>X12-U12</f>
        <v>-770.49999999999989</v>
      </c>
      <c r="AB12" s="637"/>
      <c r="AC12" s="638"/>
      <c r="AD12" s="671">
        <f>(X12/U12)*100</f>
        <v>51.430912758446802</v>
      </c>
      <c r="AE12" s="672"/>
      <c r="AF12" s="673"/>
    </row>
    <row r="13" spans="1:32" ht="11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33"/>
      <c r="AF13" s="33"/>
    </row>
    <row r="14" spans="1:32" ht="10.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5"/>
      <c r="P14" s="35"/>
      <c r="Q14" s="35"/>
      <c r="R14" s="36"/>
      <c r="S14" s="36"/>
      <c r="T14" s="36"/>
      <c r="U14" s="36"/>
      <c r="V14" s="36"/>
      <c r="W14" s="36"/>
      <c r="X14" s="37"/>
      <c r="Y14" s="37"/>
      <c r="Z14" s="37"/>
      <c r="AA14" s="37"/>
      <c r="AB14" s="37"/>
      <c r="AC14" s="37"/>
      <c r="AD14" s="37"/>
      <c r="AE14" s="38"/>
      <c r="AF14" s="38"/>
    </row>
    <row r="15" spans="1:32" s="39" customFormat="1" ht="18.75" customHeight="1">
      <c r="C15" s="83" t="s">
        <v>340</v>
      </c>
    </row>
    <row r="16" spans="1:32" s="39" customFormat="1" ht="18.75" customHeight="1">
      <c r="AF16" s="26" t="s">
        <v>366</v>
      </c>
    </row>
    <row r="17" spans="1:32" ht="45.75" customHeight="1">
      <c r="A17" s="487" t="s">
        <v>46</v>
      </c>
      <c r="B17" s="646" t="s">
        <v>121</v>
      </c>
      <c r="C17" s="647"/>
      <c r="D17" s="441" t="s">
        <v>118</v>
      </c>
      <c r="E17" s="441"/>
      <c r="F17" s="441"/>
      <c r="G17" s="441"/>
      <c r="H17" s="596" t="s">
        <v>183</v>
      </c>
      <c r="I17" s="597"/>
      <c r="J17" s="597"/>
      <c r="K17" s="597"/>
      <c r="L17" s="597"/>
      <c r="M17" s="597"/>
      <c r="N17" s="597"/>
      <c r="O17" s="598"/>
      <c r="P17" s="596" t="s">
        <v>280</v>
      </c>
      <c r="Q17" s="598"/>
      <c r="R17" s="563" t="s">
        <v>120</v>
      </c>
      <c r="S17" s="593"/>
      <c r="T17" s="593"/>
      <c r="U17" s="593"/>
      <c r="V17" s="593"/>
      <c r="W17" s="593"/>
      <c r="X17" s="593"/>
      <c r="Y17" s="593"/>
      <c r="Z17" s="564"/>
      <c r="AA17" s="441" t="s">
        <v>315</v>
      </c>
      <c r="AB17" s="440"/>
      <c r="AC17" s="440"/>
      <c r="AD17" s="441" t="s">
        <v>316</v>
      </c>
      <c r="AE17" s="440"/>
      <c r="AF17" s="440"/>
    </row>
    <row r="18" spans="1:32" ht="24.9" customHeight="1">
      <c r="A18" s="487"/>
      <c r="B18" s="648"/>
      <c r="C18" s="649"/>
      <c r="D18" s="441"/>
      <c r="E18" s="441"/>
      <c r="F18" s="441"/>
      <c r="G18" s="441"/>
      <c r="H18" s="610"/>
      <c r="I18" s="678"/>
      <c r="J18" s="678"/>
      <c r="K18" s="678"/>
      <c r="L18" s="678"/>
      <c r="M18" s="678"/>
      <c r="N18" s="678"/>
      <c r="O18" s="611"/>
      <c r="P18" s="610"/>
      <c r="Q18" s="611"/>
      <c r="R18" s="596" t="s">
        <v>448</v>
      </c>
      <c r="S18" s="597"/>
      <c r="T18" s="598"/>
      <c r="U18" s="596" t="s">
        <v>446</v>
      </c>
      <c r="V18" s="597"/>
      <c r="W18" s="598"/>
      <c r="X18" s="596" t="s">
        <v>447</v>
      </c>
      <c r="Y18" s="639"/>
      <c r="Z18" s="640"/>
      <c r="AA18" s="440"/>
      <c r="AB18" s="440"/>
      <c r="AC18" s="440"/>
      <c r="AD18" s="440"/>
      <c r="AE18" s="440"/>
      <c r="AF18" s="440"/>
    </row>
    <row r="19" spans="1:32" ht="48" customHeight="1">
      <c r="A19" s="487"/>
      <c r="B19" s="650"/>
      <c r="C19" s="651"/>
      <c r="D19" s="441"/>
      <c r="E19" s="441"/>
      <c r="F19" s="441"/>
      <c r="G19" s="441"/>
      <c r="H19" s="599"/>
      <c r="I19" s="600"/>
      <c r="J19" s="600"/>
      <c r="K19" s="600"/>
      <c r="L19" s="600"/>
      <c r="M19" s="600"/>
      <c r="N19" s="600"/>
      <c r="O19" s="601"/>
      <c r="P19" s="599"/>
      <c r="Q19" s="601"/>
      <c r="R19" s="599"/>
      <c r="S19" s="600"/>
      <c r="T19" s="601"/>
      <c r="U19" s="599"/>
      <c r="V19" s="600"/>
      <c r="W19" s="601"/>
      <c r="X19" s="641"/>
      <c r="Y19" s="485"/>
      <c r="Z19" s="642"/>
      <c r="AA19" s="440"/>
      <c r="AB19" s="440"/>
      <c r="AC19" s="440"/>
      <c r="AD19" s="440"/>
      <c r="AE19" s="440"/>
      <c r="AF19" s="440"/>
    </row>
    <row r="20" spans="1:32" ht="28.5" customHeight="1">
      <c r="A20" s="330">
        <v>1</v>
      </c>
      <c r="B20" s="652">
        <v>2</v>
      </c>
      <c r="C20" s="653"/>
      <c r="D20" s="441">
        <v>3</v>
      </c>
      <c r="E20" s="441"/>
      <c r="F20" s="441"/>
      <c r="G20" s="441"/>
      <c r="H20" s="560">
        <v>4</v>
      </c>
      <c r="I20" s="562"/>
      <c r="J20" s="562"/>
      <c r="K20" s="562"/>
      <c r="L20" s="562"/>
      <c r="M20" s="562"/>
      <c r="N20" s="562"/>
      <c r="O20" s="561"/>
      <c r="P20" s="560">
        <v>5</v>
      </c>
      <c r="Q20" s="561"/>
      <c r="R20" s="560">
        <v>6</v>
      </c>
      <c r="S20" s="562"/>
      <c r="T20" s="561"/>
      <c r="U20" s="560">
        <v>7</v>
      </c>
      <c r="V20" s="562"/>
      <c r="W20" s="561"/>
      <c r="X20" s="560">
        <v>8</v>
      </c>
      <c r="Y20" s="562"/>
      <c r="Z20" s="561"/>
      <c r="AA20" s="560">
        <v>9</v>
      </c>
      <c r="AB20" s="562"/>
      <c r="AC20" s="561"/>
      <c r="AD20" s="560">
        <v>10</v>
      </c>
      <c r="AE20" s="562"/>
      <c r="AF20" s="561"/>
    </row>
    <row r="21" spans="1:32" ht="30.75" customHeight="1">
      <c r="A21" s="355"/>
      <c r="B21" s="683"/>
      <c r="C21" s="684"/>
      <c r="D21" s="628"/>
      <c r="E21" s="628"/>
      <c r="F21" s="628"/>
      <c r="G21" s="628"/>
      <c r="H21" s="679"/>
      <c r="I21" s="680"/>
      <c r="J21" s="680"/>
      <c r="K21" s="680"/>
      <c r="L21" s="680"/>
      <c r="M21" s="680"/>
      <c r="N21" s="680"/>
      <c r="O21" s="681"/>
      <c r="P21" s="685"/>
      <c r="Q21" s="686"/>
      <c r="R21" s="549"/>
      <c r="S21" s="550"/>
      <c r="T21" s="551"/>
      <c r="U21" s="549"/>
      <c r="V21" s="550"/>
      <c r="W21" s="551"/>
      <c r="X21" s="549"/>
      <c r="Y21" s="550"/>
      <c r="Z21" s="551"/>
      <c r="AA21" s="549">
        <f>X21-U21</f>
        <v>0</v>
      </c>
      <c r="AB21" s="550"/>
      <c r="AC21" s="551"/>
      <c r="AD21" s="620" t="e">
        <f>(X21/U21)*100</f>
        <v>#DIV/0!</v>
      </c>
      <c r="AE21" s="621"/>
      <c r="AF21" s="622"/>
    </row>
    <row r="22" spans="1:32" ht="38.25" customHeight="1">
      <c r="A22" s="643" t="s">
        <v>49</v>
      </c>
      <c r="B22" s="644"/>
      <c r="C22" s="644"/>
      <c r="D22" s="644"/>
      <c r="E22" s="644"/>
      <c r="F22" s="644"/>
      <c r="G22" s="644"/>
      <c r="H22" s="644"/>
      <c r="I22" s="644"/>
      <c r="J22" s="644"/>
      <c r="K22" s="644"/>
      <c r="L22" s="644"/>
      <c r="M22" s="644"/>
      <c r="N22" s="644"/>
      <c r="O22" s="644"/>
      <c r="P22" s="644"/>
      <c r="Q22" s="645"/>
      <c r="R22" s="573">
        <f>SUM(R21:R21)</f>
        <v>0</v>
      </c>
      <c r="S22" s="574"/>
      <c r="T22" s="575"/>
      <c r="U22" s="573">
        <f>SUM(U21:U21)</f>
        <v>0</v>
      </c>
      <c r="V22" s="574"/>
      <c r="W22" s="575"/>
      <c r="X22" s="573">
        <f>SUM(X21:X21)</f>
        <v>0</v>
      </c>
      <c r="Y22" s="574"/>
      <c r="Z22" s="575"/>
      <c r="AA22" s="573">
        <f>X22-U22</f>
        <v>0</v>
      </c>
      <c r="AB22" s="574"/>
      <c r="AC22" s="575"/>
      <c r="AD22" s="690" t="e">
        <f>(X22/U22)*100</f>
        <v>#DIV/0!</v>
      </c>
      <c r="AE22" s="691"/>
      <c r="AF22" s="692"/>
    </row>
    <row r="23" spans="1:32" ht="2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68"/>
      <c r="R23" s="352"/>
      <c r="S23" s="352"/>
      <c r="T23" s="352"/>
      <c r="U23" s="352"/>
      <c r="V23" s="352"/>
      <c r="W23" s="68"/>
      <c r="X23" s="68"/>
      <c r="Y23" s="68"/>
      <c r="Z23" s="68"/>
      <c r="AA23" s="68"/>
      <c r="AB23" s="68"/>
      <c r="AC23" s="68"/>
      <c r="AD23" s="68"/>
      <c r="AE23" s="68"/>
      <c r="AF23" s="352"/>
    </row>
    <row r="24" spans="1:32" ht="16.5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68"/>
      <c r="R24" s="352"/>
      <c r="S24" s="352"/>
      <c r="T24" s="352"/>
      <c r="U24" s="352"/>
      <c r="V24" s="352"/>
      <c r="W24" s="68"/>
      <c r="X24" s="68"/>
      <c r="Y24" s="68"/>
      <c r="Z24" s="68"/>
      <c r="AA24" s="68"/>
      <c r="AB24" s="68"/>
      <c r="AC24" s="68"/>
      <c r="AD24" s="68"/>
      <c r="AE24" s="68"/>
      <c r="AF24" s="352"/>
    </row>
    <row r="25" spans="1:32" s="39" customFormat="1" ht="18.75" customHeight="1">
      <c r="A25" s="82"/>
      <c r="B25" s="82"/>
      <c r="C25" s="82" t="s">
        <v>449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</row>
    <row r="26" spans="1:32" ht="21">
      <c r="A26" s="85"/>
      <c r="B26" s="85"/>
      <c r="C26" s="85"/>
      <c r="D26" s="85"/>
      <c r="E26" s="85"/>
      <c r="F26" s="85"/>
      <c r="G26" s="85"/>
      <c r="H26" s="85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85"/>
      <c r="X26" s="68"/>
      <c r="Y26" s="68"/>
      <c r="Z26" s="516"/>
      <c r="AA26" s="516"/>
      <c r="AB26" s="516"/>
      <c r="AC26" s="68"/>
      <c r="AD26" s="516" t="s">
        <v>317</v>
      </c>
      <c r="AE26" s="516"/>
      <c r="AF26" s="516"/>
    </row>
    <row r="27" spans="1:32" ht="42" customHeight="1">
      <c r="A27" s="654" t="s">
        <v>46</v>
      </c>
      <c r="B27" s="646" t="s">
        <v>141</v>
      </c>
      <c r="C27" s="687"/>
      <c r="D27" s="687"/>
      <c r="E27" s="687"/>
      <c r="F27" s="687"/>
      <c r="G27" s="687"/>
      <c r="H27" s="687"/>
      <c r="I27" s="687"/>
      <c r="J27" s="687"/>
      <c r="K27" s="687"/>
      <c r="L27" s="647"/>
      <c r="M27" s="633" t="s">
        <v>48</v>
      </c>
      <c r="N27" s="634"/>
      <c r="O27" s="634"/>
      <c r="P27" s="635"/>
      <c r="Q27" s="633" t="s">
        <v>71</v>
      </c>
      <c r="R27" s="634"/>
      <c r="S27" s="634"/>
      <c r="T27" s="635"/>
      <c r="U27" s="633" t="s">
        <v>165</v>
      </c>
      <c r="V27" s="634"/>
      <c r="W27" s="634"/>
      <c r="X27" s="635"/>
      <c r="Y27" s="633" t="s">
        <v>416</v>
      </c>
      <c r="Z27" s="634"/>
      <c r="AA27" s="634"/>
      <c r="AB27" s="635"/>
      <c r="AC27" s="633" t="s">
        <v>49</v>
      </c>
      <c r="AD27" s="634"/>
      <c r="AE27" s="634"/>
      <c r="AF27" s="635"/>
    </row>
    <row r="28" spans="1:32" ht="34.5" customHeight="1">
      <c r="A28" s="677"/>
      <c r="B28" s="648"/>
      <c r="C28" s="688"/>
      <c r="D28" s="688"/>
      <c r="E28" s="688"/>
      <c r="F28" s="688"/>
      <c r="G28" s="688"/>
      <c r="H28" s="688"/>
      <c r="I28" s="688"/>
      <c r="J28" s="688"/>
      <c r="K28" s="688"/>
      <c r="L28" s="649"/>
      <c r="M28" s="608" t="s">
        <v>139</v>
      </c>
      <c r="N28" s="608" t="s">
        <v>140</v>
      </c>
      <c r="O28" s="608" t="s">
        <v>150</v>
      </c>
      <c r="P28" s="608" t="s">
        <v>151</v>
      </c>
      <c r="Q28" s="608" t="s">
        <v>139</v>
      </c>
      <c r="R28" s="608" t="s">
        <v>140</v>
      </c>
      <c r="S28" s="608" t="s">
        <v>150</v>
      </c>
      <c r="T28" s="608" t="s">
        <v>151</v>
      </c>
      <c r="U28" s="608" t="s">
        <v>139</v>
      </c>
      <c r="V28" s="608" t="s">
        <v>140</v>
      </c>
      <c r="W28" s="608" t="s">
        <v>150</v>
      </c>
      <c r="X28" s="608" t="s">
        <v>151</v>
      </c>
      <c r="Y28" s="608" t="s">
        <v>139</v>
      </c>
      <c r="Z28" s="608" t="s">
        <v>140</v>
      </c>
      <c r="AA28" s="608" t="s">
        <v>150</v>
      </c>
      <c r="AB28" s="608" t="s">
        <v>151</v>
      </c>
      <c r="AC28" s="608" t="s">
        <v>139</v>
      </c>
      <c r="AD28" s="608" t="s">
        <v>140</v>
      </c>
      <c r="AE28" s="608" t="s">
        <v>150</v>
      </c>
      <c r="AF28" s="608" t="s">
        <v>151</v>
      </c>
    </row>
    <row r="29" spans="1:32" ht="24.9" customHeight="1">
      <c r="A29" s="655"/>
      <c r="B29" s="650"/>
      <c r="C29" s="689"/>
      <c r="D29" s="689"/>
      <c r="E29" s="689"/>
      <c r="F29" s="689"/>
      <c r="G29" s="689"/>
      <c r="H29" s="689"/>
      <c r="I29" s="689"/>
      <c r="J29" s="689"/>
      <c r="K29" s="689"/>
      <c r="L29" s="651"/>
      <c r="M29" s="609"/>
      <c r="N29" s="609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09"/>
      <c r="AE29" s="609"/>
      <c r="AF29" s="609"/>
    </row>
    <row r="30" spans="1:32" ht="33.75" customHeight="1">
      <c r="A30" s="355">
        <v>1</v>
      </c>
      <c r="B30" s="615">
        <v>2</v>
      </c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350">
        <v>3</v>
      </c>
      <c r="N30" s="350">
        <v>4</v>
      </c>
      <c r="O30" s="350">
        <v>5</v>
      </c>
      <c r="P30" s="350">
        <v>6</v>
      </c>
      <c r="Q30" s="350">
        <v>7</v>
      </c>
      <c r="R30" s="350">
        <v>8</v>
      </c>
      <c r="S30" s="350">
        <v>9</v>
      </c>
      <c r="T30" s="350">
        <v>10</v>
      </c>
      <c r="U30" s="350">
        <v>11</v>
      </c>
      <c r="V30" s="350">
        <v>12</v>
      </c>
      <c r="W30" s="350">
        <v>13</v>
      </c>
      <c r="X30" s="350">
        <v>14</v>
      </c>
      <c r="Y30" s="350">
        <v>15</v>
      </c>
      <c r="Z30" s="350">
        <v>16</v>
      </c>
      <c r="AA30" s="350">
        <v>17</v>
      </c>
      <c r="AB30" s="350">
        <v>18</v>
      </c>
      <c r="AC30" s="350">
        <v>19</v>
      </c>
      <c r="AD30" s="350">
        <v>20</v>
      </c>
      <c r="AE30" s="350">
        <v>21</v>
      </c>
      <c r="AF30" s="350">
        <v>22</v>
      </c>
    </row>
    <row r="31" spans="1:32" s="313" customFormat="1" ht="33.75" customHeight="1">
      <c r="A31" s="311">
        <v>1</v>
      </c>
      <c r="B31" s="674" t="s">
        <v>1</v>
      </c>
      <c r="C31" s="675"/>
      <c r="D31" s="675"/>
      <c r="E31" s="675"/>
      <c r="F31" s="675"/>
      <c r="G31" s="675"/>
      <c r="H31" s="675"/>
      <c r="I31" s="675"/>
      <c r="J31" s="675"/>
      <c r="K31" s="675"/>
      <c r="L31" s="676"/>
      <c r="M31" s="312">
        <f>SUM(M32:M32)</f>
        <v>0</v>
      </c>
      <c r="N31" s="312">
        <f>SUM(N32:N32)</f>
        <v>0</v>
      </c>
      <c r="O31" s="312">
        <v>0</v>
      </c>
      <c r="P31" s="305"/>
      <c r="Q31" s="312">
        <f>SUM(Q32:Q32)</f>
        <v>0</v>
      </c>
      <c r="R31" s="312">
        <f>SUM(R32:R32)</f>
        <v>2191.5</v>
      </c>
      <c r="S31" s="312">
        <v>0</v>
      </c>
      <c r="T31" s="305"/>
      <c r="U31" s="312">
        <f>SUM(U32:U32)</f>
        <v>0</v>
      </c>
      <c r="V31" s="312">
        <f>SUM(V32:V32)</f>
        <v>605.9</v>
      </c>
      <c r="W31" s="312">
        <v>0</v>
      </c>
      <c r="X31" s="305"/>
      <c r="Y31" s="312">
        <f>SUM(Y32:Y32)</f>
        <v>0</v>
      </c>
      <c r="Z31" s="312">
        <f>SUM(Z32:Z32)</f>
        <v>0</v>
      </c>
      <c r="AA31" s="312">
        <v>0</v>
      </c>
      <c r="AB31" s="305"/>
      <c r="AC31" s="312">
        <f t="shared" ref="AC31:AD31" si="2">M31+Q31+U31+Y31</f>
        <v>0</v>
      </c>
      <c r="AD31" s="312">
        <f t="shared" si="2"/>
        <v>2797.4</v>
      </c>
      <c r="AE31" s="312">
        <f>AD31-AC31</f>
        <v>2797.4</v>
      </c>
      <c r="AF31" s="305"/>
    </row>
    <row r="32" spans="1:32" s="313" customFormat="1" ht="33.75" customHeight="1">
      <c r="A32" s="311"/>
      <c r="B32" s="502" t="s">
        <v>815</v>
      </c>
      <c r="C32" s="614"/>
      <c r="D32" s="614"/>
      <c r="E32" s="614"/>
      <c r="F32" s="614"/>
      <c r="G32" s="614"/>
      <c r="H32" s="614"/>
      <c r="I32" s="614"/>
      <c r="J32" s="614"/>
      <c r="K32" s="614"/>
      <c r="L32" s="503"/>
      <c r="M32" s="312"/>
      <c r="N32" s="312"/>
      <c r="O32" s="350">
        <f>N32-M32</f>
        <v>0</v>
      </c>
      <c r="P32" s="306"/>
      <c r="Q32" s="312"/>
      <c r="R32" s="318">
        <v>2191.5</v>
      </c>
      <c r="S32" s="350">
        <f>R32-Q32</f>
        <v>2191.5</v>
      </c>
      <c r="T32" s="306"/>
      <c r="U32" s="318"/>
      <c r="V32" s="318">
        <v>605.9</v>
      </c>
      <c r="W32" s="350">
        <f>V32-U32</f>
        <v>605.9</v>
      </c>
      <c r="X32" s="306"/>
      <c r="Y32" s="312"/>
      <c r="Z32" s="312"/>
      <c r="AA32" s="350">
        <f>Z32-Y32</f>
        <v>0</v>
      </c>
      <c r="AB32" s="306"/>
      <c r="AC32" s="350">
        <f t="shared" ref="AC32" si="3">M32+Q32+U32+Y32</f>
        <v>0</v>
      </c>
      <c r="AD32" s="350">
        <f t="shared" ref="AD32" si="4">N32+R32+V32+Z32</f>
        <v>2797.4</v>
      </c>
      <c r="AE32" s="350">
        <f t="shared" ref="AE32" si="5">AD32-AC32</f>
        <v>2797.4</v>
      </c>
      <c r="AF32" s="306"/>
    </row>
    <row r="33" spans="1:32" s="199" customFormat="1" ht="33.75" customHeight="1">
      <c r="A33" s="94">
        <v>2</v>
      </c>
      <c r="B33" s="568" t="s">
        <v>631</v>
      </c>
      <c r="C33" s="569"/>
      <c r="D33" s="569"/>
      <c r="E33" s="569"/>
      <c r="F33" s="569"/>
      <c r="G33" s="569"/>
      <c r="H33" s="569"/>
      <c r="I33" s="569"/>
      <c r="J33" s="569"/>
      <c r="K33" s="569"/>
      <c r="L33" s="570"/>
      <c r="M33" s="343">
        <f>SUM(M34:M42)</f>
        <v>0</v>
      </c>
      <c r="N33" s="343">
        <f>SUM(N34:N42)</f>
        <v>60969.7</v>
      </c>
      <c r="O33" s="343">
        <f>N33-M33</f>
        <v>60969.7</v>
      </c>
      <c r="P33" s="305"/>
      <c r="Q33" s="343">
        <f>SUM(Q34:Q42)</f>
        <v>47120.4</v>
      </c>
      <c r="R33" s="343">
        <f>SUM(R34:R42)</f>
        <v>62203.399999999994</v>
      </c>
      <c r="S33" s="343">
        <f>R33-Q33</f>
        <v>15082.999999999993</v>
      </c>
      <c r="T33" s="305">
        <f>R33/Q33</f>
        <v>1.3200949058157398</v>
      </c>
      <c r="U33" s="343">
        <f>SUM(U34:U42)</f>
        <v>900</v>
      </c>
      <c r="V33" s="343">
        <f>SUM(V34:V42)</f>
        <v>695.3</v>
      </c>
      <c r="W33" s="343">
        <f>V33-U33</f>
        <v>-204.70000000000005</v>
      </c>
      <c r="X33" s="305">
        <f>V33/U33</f>
        <v>0.77255555555555555</v>
      </c>
      <c r="Y33" s="343">
        <f>SUM(Y34:Y42)</f>
        <v>0</v>
      </c>
      <c r="Z33" s="343">
        <f>SUM(Z34:Z42)</f>
        <v>0</v>
      </c>
      <c r="AA33" s="343">
        <f>Z33-Y33</f>
        <v>0</v>
      </c>
      <c r="AB33" s="305"/>
      <c r="AC33" s="343">
        <f>SUM(AC34:AC42)</f>
        <v>48020.4</v>
      </c>
      <c r="AD33" s="343">
        <f>SUM(AD34:AD42)</f>
        <v>123868.40000000001</v>
      </c>
      <c r="AE33" s="343">
        <f>AD33-AC33</f>
        <v>75848</v>
      </c>
      <c r="AF33" s="305">
        <f>AD33/AC33</f>
        <v>2.5794953811296866</v>
      </c>
    </row>
    <row r="34" spans="1:32" ht="33.75" customHeight="1">
      <c r="A34" s="323"/>
      <c r="B34" s="502" t="s">
        <v>807</v>
      </c>
      <c r="C34" s="614"/>
      <c r="D34" s="614"/>
      <c r="E34" s="614"/>
      <c r="F34" s="614"/>
      <c r="G34" s="614"/>
      <c r="H34" s="614"/>
      <c r="I34" s="614"/>
      <c r="J34" s="614"/>
      <c r="K34" s="614"/>
      <c r="L34" s="503"/>
      <c r="M34" s="350"/>
      <c r="N34" s="350"/>
      <c r="O34" s="350">
        <f t="shared" ref="O34:O36" si="6">N34-M34</f>
        <v>0</v>
      </c>
      <c r="P34" s="306"/>
      <c r="Q34" s="350"/>
      <c r="R34" s="350"/>
      <c r="S34" s="350">
        <f t="shared" ref="S34:S36" si="7">R34-Q34</f>
        <v>0</v>
      </c>
      <c r="T34" s="306"/>
      <c r="U34" s="350"/>
      <c r="V34" s="350">
        <v>47</v>
      </c>
      <c r="W34" s="350">
        <f t="shared" ref="W34:W36" si="8">V34-U34</f>
        <v>47</v>
      </c>
      <c r="X34" s="306"/>
      <c r="Y34" s="350"/>
      <c r="Z34" s="350"/>
      <c r="AA34" s="350">
        <f t="shared" ref="AA34:AA36" si="9">Z34-Y34</f>
        <v>0</v>
      </c>
      <c r="AB34" s="306"/>
      <c r="AC34" s="350">
        <f t="shared" ref="AC34" si="10">M34+Q34+U34+Y34</f>
        <v>0</v>
      </c>
      <c r="AD34" s="350">
        <f t="shared" ref="AD34" si="11">N34+R34+V34+Z34</f>
        <v>47</v>
      </c>
      <c r="AE34" s="350">
        <f t="shared" ref="AE34" si="12">AD34-AC34</f>
        <v>47</v>
      </c>
      <c r="AF34" s="306"/>
    </row>
    <row r="35" spans="1:32" ht="33.75" customHeight="1">
      <c r="A35" s="323"/>
      <c r="B35" s="502" t="s">
        <v>808</v>
      </c>
      <c r="C35" s="614"/>
      <c r="D35" s="614"/>
      <c r="E35" s="614"/>
      <c r="F35" s="614"/>
      <c r="G35" s="614"/>
      <c r="H35" s="614"/>
      <c r="I35" s="614"/>
      <c r="J35" s="614"/>
      <c r="K35" s="614"/>
      <c r="L35" s="503"/>
      <c r="M35" s="350"/>
      <c r="N35" s="350"/>
      <c r="O35" s="350">
        <f t="shared" si="6"/>
        <v>0</v>
      </c>
      <c r="P35" s="306"/>
      <c r="Q35" s="350"/>
      <c r="R35" s="350"/>
      <c r="S35" s="350">
        <f t="shared" si="7"/>
        <v>0</v>
      </c>
      <c r="T35" s="306"/>
      <c r="U35" s="350"/>
      <c r="V35" s="350">
        <v>22</v>
      </c>
      <c r="W35" s="350">
        <f t="shared" si="8"/>
        <v>22</v>
      </c>
      <c r="X35" s="306"/>
      <c r="Y35" s="350"/>
      <c r="Z35" s="350"/>
      <c r="AA35" s="350">
        <f t="shared" si="9"/>
        <v>0</v>
      </c>
      <c r="AB35" s="306"/>
      <c r="AC35" s="350">
        <f t="shared" ref="AC35" si="13">M35+Q35+U35+Y35</f>
        <v>0</v>
      </c>
      <c r="AD35" s="350">
        <f t="shared" ref="AD35:AD36" si="14">N35+R35+V35+Z35</f>
        <v>22</v>
      </c>
      <c r="AE35" s="350">
        <f t="shared" ref="AE35" si="15">AD35-AC35</f>
        <v>22</v>
      </c>
      <c r="AF35" s="306"/>
    </row>
    <row r="36" spans="1:32" ht="33.75" customHeight="1">
      <c r="A36" s="323"/>
      <c r="B36" s="502" t="s">
        <v>809</v>
      </c>
      <c r="C36" s="614"/>
      <c r="D36" s="614"/>
      <c r="E36" s="614"/>
      <c r="F36" s="614"/>
      <c r="G36" s="614"/>
      <c r="H36" s="614"/>
      <c r="I36" s="614"/>
      <c r="J36" s="614"/>
      <c r="K36" s="614"/>
      <c r="L36" s="503"/>
      <c r="M36" s="350"/>
      <c r="N36" s="350"/>
      <c r="O36" s="350">
        <f t="shared" si="6"/>
        <v>0</v>
      </c>
      <c r="P36" s="306"/>
      <c r="Q36" s="350"/>
      <c r="R36" s="350"/>
      <c r="S36" s="350">
        <f t="shared" si="7"/>
        <v>0</v>
      </c>
      <c r="T36" s="306"/>
      <c r="U36" s="350"/>
      <c r="V36" s="350">
        <v>139</v>
      </c>
      <c r="W36" s="350">
        <f t="shared" si="8"/>
        <v>139</v>
      </c>
      <c r="X36" s="306"/>
      <c r="Y36" s="350"/>
      <c r="Z36" s="350"/>
      <c r="AA36" s="350">
        <f t="shared" si="9"/>
        <v>0</v>
      </c>
      <c r="AB36" s="306"/>
      <c r="AC36" s="350"/>
      <c r="AD36" s="350">
        <f t="shared" si="14"/>
        <v>139</v>
      </c>
      <c r="AE36" s="350">
        <f t="shared" ref="AE36" si="16">AD36-AC36</f>
        <v>139</v>
      </c>
      <c r="AF36" s="306"/>
    </row>
    <row r="37" spans="1:32" ht="33.75" customHeight="1">
      <c r="A37" s="323"/>
      <c r="B37" s="612" t="s">
        <v>632</v>
      </c>
      <c r="C37" s="442"/>
      <c r="D37" s="442"/>
      <c r="E37" s="442"/>
      <c r="F37" s="442"/>
      <c r="G37" s="442"/>
      <c r="H37" s="442"/>
      <c r="I37" s="442"/>
      <c r="J37" s="442"/>
      <c r="K37" s="442"/>
      <c r="L37" s="613"/>
      <c r="M37" s="350"/>
      <c r="N37" s="350"/>
      <c r="O37" s="350">
        <f>N37-M37</f>
        <v>0</v>
      </c>
      <c r="P37" s="306"/>
      <c r="Q37" s="350"/>
      <c r="R37" s="350"/>
      <c r="S37" s="350">
        <f>R37-Q37</f>
        <v>0</v>
      </c>
      <c r="T37" s="306"/>
      <c r="U37" s="350">
        <v>500</v>
      </c>
      <c r="V37" s="350"/>
      <c r="W37" s="350">
        <f>V37-U37</f>
        <v>-500</v>
      </c>
      <c r="X37" s="306">
        <f>V37/U37</f>
        <v>0</v>
      </c>
      <c r="Y37" s="350"/>
      <c r="Z37" s="350"/>
      <c r="AA37" s="350">
        <f>Z37-Y37</f>
        <v>0</v>
      </c>
      <c r="AB37" s="306"/>
      <c r="AC37" s="350">
        <f>M37+Q37+U37+Y37</f>
        <v>500</v>
      </c>
      <c r="AD37" s="350">
        <f>N37+R37+V37+Z37</f>
        <v>0</v>
      </c>
      <c r="AE37" s="350">
        <f>AD37-AC37</f>
        <v>-500</v>
      </c>
      <c r="AF37" s="306">
        <f>AD37/AC37</f>
        <v>0</v>
      </c>
    </row>
    <row r="38" spans="1:32" ht="33.75" customHeight="1">
      <c r="A38" s="323"/>
      <c r="B38" s="612" t="s">
        <v>633</v>
      </c>
      <c r="C38" s="442"/>
      <c r="D38" s="442"/>
      <c r="E38" s="442"/>
      <c r="F38" s="442"/>
      <c r="G38" s="442"/>
      <c r="H38" s="442"/>
      <c r="I38" s="442"/>
      <c r="J38" s="442"/>
      <c r="K38" s="442"/>
      <c r="L38" s="613"/>
      <c r="M38" s="350"/>
      <c r="N38" s="350">
        <v>44876.5</v>
      </c>
      <c r="O38" s="350">
        <f t="shared" ref="O38:O42" si="17">N38-M38</f>
        <v>44876.5</v>
      </c>
      <c r="P38" s="306"/>
      <c r="Q38" s="350">
        <v>47120.4</v>
      </c>
      <c r="R38" s="350">
        <v>44876.6</v>
      </c>
      <c r="S38" s="350">
        <f t="shared" ref="S38:S42" si="18">R38-Q38</f>
        <v>-2243.8000000000029</v>
      </c>
      <c r="T38" s="306">
        <f t="shared" ref="T38" si="19">R38/Q38</f>
        <v>0.9523815587304012</v>
      </c>
      <c r="U38" s="350"/>
      <c r="V38" s="350"/>
      <c r="W38" s="350">
        <f t="shared" ref="W38:W42" si="20">V38-U38</f>
        <v>0</v>
      </c>
      <c r="X38" s="306"/>
      <c r="Y38" s="350"/>
      <c r="Z38" s="350"/>
      <c r="AA38" s="350">
        <f t="shared" ref="AA38:AA42" si="21">Z38-Y38</f>
        <v>0</v>
      </c>
      <c r="AB38" s="306"/>
      <c r="AC38" s="350">
        <f t="shared" ref="AC38:AC41" si="22">M38+Q38+U38+Y38</f>
        <v>47120.4</v>
      </c>
      <c r="AD38" s="350">
        <f t="shared" ref="AD38:AD41" si="23">N38+R38+V38+Z38</f>
        <v>89753.1</v>
      </c>
      <c r="AE38" s="350">
        <f t="shared" ref="AE38:AE39" si="24">AD38-AC38</f>
        <v>42632.700000000004</v>
      </c>
      <c r="AF38" s="306">
        <f t="shared" ref="AF38:AF39" si="25">AD38/AC38</f>
        <v>1.9047609952377316</v>
      </c>
    </row>
    <row r="39" spans="1:32" ht="33.75" customHeight="1">
      <c r="A39" s="323"/>
      <c r="B39" s="612" t="s">
        <v>634</v>
      </c>
      <c r="C39" s="442"/>
      <c r="D39" s="442"/>
      <c r="E39" s="442"/>
      <c r="F39" s="442"/>
      <c r="G39" s="442"/>
      <c r="H39" s="442"/>
      <c r="I39" s="442"/>
      <c r="J39" s="442"/>
      <c r="K39" s="442"/>
      <c r="L39" s="613"/>
      <c r="M39" s="350"/>
      <c r="N39" s="350"/>
      <c r="O39" s="350">
        <f t="shared" si="17"/>
        <v>0</v>
      </c>
      <c r="P39" s="306"/>
      <c r="Q39" s="350"/>
      <c r="R39" s="350"/>
      <c r="S39" s="350">
        <f t="shared" si="18"/>
        <v>0</v>
      </c>
      <c r="T39" s="306"/>
      <c r="U39" s="350">
        <v>400</v>
      </c>
      <c r="V39" s="350"/>
      <c r="W39" s="350">
        <f t="shared" si="20"/>
        <v>-400</v>
      </c>
      <c r="X39" s="306">
        <f t="shared" ref="X39" si="26">V39/U39</f>
        <v>0</v>
      </c>
      <c r="Y39" s="350"/>
      <c r="Z39" s="350"/>
      <c r="AA39" s="350">
        <f t="shared" si="21"/>
        <v>0</v>
      </c>
      <c r="AB39" s="306"/>
      <c r="AC39" s="350">
        <f t="shared" si="22"/>
        <v>400</v>
      </c>
      <c r="AD39" s="350">
        <f t="shared" si="23"/>
        <v>0</v>
      </c>
      <c r="AE39" s="350">
        <f t="shared" si="24"/>
        <v>-400</v>
      </c>
      <c r="AF39" s="306">
        <f t="shared" si="25"/>
        <v>0</v>
      </c>
    </row>
    <row r="40" spans="1:32" ht="33.75" customHeight="1">
      <c r="A40" s="323"/>
      <c r="B40" s="612" t="s">
        <v>810</v>
      </c>
      <c r="C40" s="442"/>
      <c r="D40" s="442"/>
      <c r="E40" s="442"/>
      <c r="F40" s="442"/>
      <c r="G40" s="442"/>
      <c r="H40" s="442"/>
      <c r="I40" s="442"/>
      <c r="J40" s="442"/>
      <c r="K40" s="442"/>
      <c r="L40" s="613"/>
      <c r="M40" s="350"/>
      <c r="N40" s="350"/>
      <c r="O40" s="350">
        <f t="shared" si="17"/>
        <v>0</v>
      </c>
      <c r="P40" s="306"/>
      <c r="Q40" s="350"/>
      <c r="R40" s="350"/>
      <c r="S40" s="350">
        <f t="shared" si="18"/>
        <v>0</v>
      </c>
      <c r="T40" s="306"/>
      <c r="U40" s="350"/>
      <c r="V40" s="350">
        <v>97.8</v>
      </c>
      <c r="W40" s="350">
        <f t="shared" si="20"/>
        <v>97.8</v>
      </c>
      <c r="X40" s="306"/>
      <c r="Y40" s="350"/>
      <c r="Z40" s="350"/>
      <c r="AA40" s="350">
        <f t="shared" si="21"/>
        <v>0</v>
      </c>
      <c r="AB40" s="306"/>
      <c r="AC40" s="350">
        <f t="shared" si="22"/>
        <v>0</v>
      </c>
      <c r="AD40" s="350">
        <f t="shared" si="23"/>
        <v>97.8</v>
      </c>
      <c r="AE40" s="350">
        <f t="shared" ref="AE40:AE41" si="27">AD40-AC40</f>
        <v>97.8</v>
      </c>
      <c r="AF40" s="306"/>
    </row>
    <row r="41" spans="1:32" ht="33.75" customHeight="1">
      <c r="A41" s="323"/>
      <c r="B41" s="612" t="s">
        <v>811</v>
      </c>
      <c r="C41" s="442"/>
      <c r="D41" s="442"/>
      <c r="E41" s="442"/>
      <c r="F41" s="442"/>
      <c r="G41" s="442"/>
      <c r="H41" s="442"/>
      <c r="I41" s="442"/>
      <c r="J41" s="442"/>
      <c r="K41" s="442"/>
      <c r="L41" s="613"/>
      <c r="M41" s="350"/>
      <c r="N41" s="350"/>
      <c r="O41" s="350">
        <f t="shared" si="17"/>
        <v>0</v>
      </c>
      <c r="P41" s="306"/>
      <c r="Q41" s="350"/>
      <c r="R41" s="350">
        <v>1408.5</v>
      </c>
      <c r="S41" s="350">
        <f t="shared" si="18"/>
        <v>1408.5</v>
      </c>
      <c r="T41" s="306"/>
      <c r="U41" s="350"/>
      <c r="V41" s="350">
        <v>389.5</v>
      </c>
      <c r="W41" s="350">
        <f t="shared" si="20"/>
        <v>389.5</v>
      </c>
      <c r="X41" s="306"/>
      <c r="Y41" s="350"/>
      <c r="Z41" s="350"/>
      <c r="AA41" s="350">
        <f t="shared" si="21"/>
        <v>0</v>
      </c>
      <c r="AB41" s="306"/>
      <c r="AC41" s="350">
        <f t="shared" si="22"/>
        <v>0</v>
      </c>
      <c r="AD41" s="350">
        <f t="shared" si="23"/>
        <v>1798</v>
      </c>
      <c r="AE41" s="350">
        <f t="shared" si="27"/>
        <v>1798</v>
      </c>
      <c r="AF41" s="306"/>
    </row>
    <row r="42" spans="1:32" ht="33.75" customHeight="1">
      <c r="A42" s="323"/>
      <c r="B42" s="679" t="s">
        <v>814</v>
      </c>
      <c r="C42" s="680"/>
      <c r="D42" s="680"/>
      <c r="E42" s="680"/>
      <c r="F42" s="680"/>
      <c r="G42" s="680"/>
      <c r="H42" s="680"/>
      <c r="I42" s="680"/>
      <c r="J42" s="680"/>
      <c r="K42" s="680"/>
      <c r="L42" s="681"/>
      <c r="M42" s="350"/>
      <c r="N42" s="350">
        <v>16093.2</v>
      </c>
      <c r="O42" s="350">
        <f t="shared" si="17"/>
        <v>16093.2</v>
      </c>
      <c r="P42" s="306"/>
      <c r="Q42" s="350"/>
      <c r="R42" s="350">
        <v>15918.3</v>
      </c>
      <c r="S42" s="350">
        <f t="shared" si="18"/>
        <v>15918.3</v>
      </c>
      <c r="T42" s="306"/>
      <c r="U42" s="350"/>
      <c r="V42" s="350"/>
      <c r="W42" s="350">
        <f t="shared" si="20"/>
        <v>0</v>
      </c>
      <c r="X42" s="306"/>
      <c r="Y42" s="350"/>
      <c r="Z42" s="350"/>
      <c r="AA42" s="350">
        <f t="shared" si="21"/>
        <v>0</v>
      </c>
      <c r="AB42" s="306"/>
      <c r="AC42" s="350">
        <f t="shared" ref="AC42" si="28">M42+Q42+U42+Y42</f>
        <v>0</v>
      </c>
      <c r="AD42" s="350">
        <f t="shared" ref="AD42" si="29">N42+R42+V42+Z42</f>
        <v>32011.5</v>
      </c>
      <c r="AE42" s="350">
        <f t="shared" ref="AE42" si="30">AD42-AC42</f>
        <v>32011.5</v>
      </c>
      <c r="AF42" s="306"/>
    </row>
    <row r="43" spans="1:32" s="313" customFormat="1" ht="31.95" customHeight="1">
      <c r="A43" s="311">
        <v>3</v>
      </c>
      <c r="B43" s="616" t="s">
        <v>398</v>
      </c>
      <c r="C43" s="617"/>
      <c r="D43" s="617"/>
      <c r="E43" s="617"/>
      <c r="F43" s="617"/>
      <c r="G43" s="617"/>
      <c r="H43" s="617"/>
      <c r="I43" s="617"/>
      <c r="J43" s="617"/>
      <c r="K43" s="617"/>
      <c r="L43" s="618"/>
      <c r="M43" s="312">
        <f>M44</f>
        <v>0</v>
      </c>
      <c r="N43" s="312">
        <f t="shared" ref="N43:O43" si="31">N44</f>
        <v>0</v>
      </c>
      <c r="O43" s="312">
        <f t="shared" si="31"/>
        <v>0</v>
      </c>
      <c r="P43" s="314">
        <v>0</v>
      </c>
      <c r="Q43" s="312">
        <f t="shared" ref="Q43:AA43" si="32">Q44</f>
        <v>0</v>
      </c>
      <c r="R43" s="312">
        <f t="shared" si="32"/>
        <v>0</v>
      </c>
      <c r="S43" s="312">
        <f t="shared" si="32"/>
        <v>0</v>
      </c>
      <c r="T43" s="312">
        <v>0</v>
      </c>
      <c r="U43" s="312">
        <f t="shared" si="32"/>
        <v>0</v>
      </c>
      <c r="V43" s="312">
        <f t="shared" si="32"/>
        <v>9</v>
      </c>
      <c r="W43" s="312">
        <f t="shared" si="32"/>
        <v>9</v>
      </c>
      <c r="X43" s="314">
        <v>0</v>
      </c>
      <c r="Y43" s="312">
        <f t="shared" si="32"/>
        <v>0</v>
      </c>
      <c r="Z43" s="312">
        <f t="shared" si="32"/>
        <v>0</v>
      </c>
      <c r="AA43" s="312">
        <f t="shared" si="32"/>
        <v>0</v>
      </c>
      <c r="AB43" s="314">
        <v>0</v>
      </c>
      <c r="AC43" s="312">
        <f t="shared" ref="AC43:AD44" si="33">M43+Q43+U43+Y43</f>
        <v>0</v>
      </c>
      <c r="AD43" s="312">
        <f t="shared" si="33"/>
        <v>9</v>
      </c>
      <c r="AE43" s="312">
        <f t="shared" ref="AE43" si="34">AD43-AC43</f>
        <v>9</v>
      </c>
      <c r="AF43" s="315">
        <v>0</v>
      </c>
    </row>
    <row r="44" spans="1:32" s="313" customFormat="1" ht="28.95" customHeight="1">
      <c r="A44" s="316"/>
      <c r="B44" s="698" t="s">
        <v>603</v>
      </c>
      <c r="C44" s="699"/>
      <c r="D44" s="699"/>
      <c r="E44" s="699"/>
      <c r="F44" s="699"/>
      <c r="G44" s="699"/>
      <c r="H44" s="699"/>
      <c r="I44" s="699"/>
      <c r="J44" s="699"/>
      <c r="K44" s="699"/>
      <c r="L44" s="700"/>
      <c r="M44" s="312"/>
      <c r="N44" s="312"/>
      <c r="O44" s="312"/>
      <c r="P44" s="312"/>
      <c r="Q44" s="312"/>
      <c r="R44" s="312"/>
      <c r="S44" s="312"/>
      <c r="T44" s="317" t="e">
        <f t="shared" ref="T44" si="35">R44/Q44*100</f>
        <v>#DIV/0!</v>
      </c>
      <c r="U44" s="312"/>
      <c r="V44" s="318">
        <v>9</v>
      </c>
      <c r="W44" s="318">
        <f>V44-U44</f>
        <v>9</v>
      </c>
      <c r="X44" s="317" t="e">
        <f t="shared" ref="X44" si="36">V44/U44*100</f>
        <v>#DIV/0!</v>
      </c>
      <c r="Y44" s="319"/>
      <c r="Z44" s="319"/>
      <c r="AA44" s="319">
        <f t="shared" ref="AA44" si="37">Z44-Y44</f>
        <v>0</v>
      </c>
      <c r="AB44" s="317"/>
      <c r="AC44" s="318">
        <f>M44+Q44+U44+Y44</f>
        <v>0</v>
      </c>
      <c r="AD44" s="318">
        <f t="shared" si="33"/>
        <v>9</v>
      </c>
      <c r="AE44" s="318">
        <f>AD44-AC44</f>
        <v>9</v>
      </c>
      <c r="AF44" s="306"/>
    </row>
    <row r="45" spans="1:32" s="199" customFormat="1" ht="42.6" customHeight="1">
      <c r="A45" s="94">
        <v>4</v>
      </c>
      <c r="B45" s="568" t="s">
        <v>635</v>
      </c>
      <c r="C45" s="569"/>
      <c r="D45" s="569"/>
      <c r="E45" s="569"/>
      <c r="F45" s="569"/>
      <c r="G45" s="569"/>
      <c r="H45" s="569"/>
      <c r="I45" s="569"/>
      <c r="J45" s="569"/>
      <c r="K45" s="569"/>
      <c r="L45" s="570"/>
      <c r="M45" s="343">
        <f>SUM(M46:M48)</f>
        <v>0</v>
      </c>
      <c r="N45" s="343">
        <f>SUM(N46:N48)</f>
        <v>18906.8</v>
      </c>
      <c r="O45" s="343">
        <f>N45-M45</f>
        <v>18906.8</v>
      </c>
      <c r="P45" s="305"/>
      <c r="Q45" s="343">
        <f>SUM(Q46:Q48)</f>
        <v>27373.4</v>
      </c>
      <c r="R45" s="343">
        <f>SUM(R46:R48)</f>
        <v>13884.6</v>
      </c>
      <c r="S45" s="343">
        <f>R45-Q45</f>
        <v>-13488.800000000001</v>
      </c>
      <c r="T45" s="305">
        <f>R45/Q45</f>
        <v>0.50722964629896172</v>
      </c>
      <c r="U45" s="343">
        <f>SUM(U46:U48)</f>
        <v>0</v>
      </c>
      <c r="V45" s="343">
        <f>SUM(V46:V48)</f>
        <v>2140.4</v>
      </c>
      <c r="W45" s="343">
        <f>V45-U45</f>
        <v>2140.4</v>
      </c>
      <c r="X45" s="305"/>
      <c r="Y45" s="343">
        <f>SUM(Y46:Y48)</f>
        <v>0</v>
      </c>
      <c r="Z45" s="343">
        <f>SUM(Z46:Z48)</f>
        <v>0</v>
      </c>
      <c r="AA45" s="343">
        <f>Z45-Y45</f>
        <v>0</v>
      </c>
      <c r="AB45" s="305"/>
      <c r="AC45" s="343">
        <f t="shared" ref="AC45:AD50" si="38">M45+Q45+U45+Y45</f>
        <v>27373.4</v>
      </c>
      <c r="AD45" s="343">
        <f t="shared" si="38"/>
        <v>34931.800000000003</v>
      </c>
      <c r="AE45" s="343">
        <f>AD45-AC45</f>
        <v>7558.4000000000015</v>
      </c>
      <c r="AF45" s="305">
        <f>AD45/AC45</f>
        <v>1.2761220747148692</v>
      </c>
    </row>
    <row r="46" spans="1:32" ht="33.75" customHeight="1">
      <c r="A46" s="323"/>
      <c r="B46" s="612" t="s">
        <v>636</v>
      </c>
      <c r="C46" s="442"/>
      <c r="D46" s="442"/>
      <c r="E46" s="442"/>
      <c r="F46" s="442"/>
      <c r="G46" s="442"/>
      <c r="H46" s="442"/>
      <c r="I46" s="442"/>
      <c r="J46" s="442"/>
      <c r="K46" s="442"/>
      <c r="L46" s="613"/>
      <c r="M46" s="350"/>
      <c r="N46" s="350">
        <v>18906.8</v>
      </c>
      <c r="O46" s="350">
        <f t="shared" ref="O46:O56" si="39">N46-M46</f>
        <v>18906.8</v>
      </c>
      <c r="P46" s="306"/>
      <c r="Q46" s="350">
        <v>27373.4</v>
      </c>
      <c r="R46" s="350">
        <v>13884.6</v>
      </c>
      <c r="S46" s="350">
        <f t="shared" ref="S46" si="40">R46-Q46</f>
        <v>-13488.800000000001</v>
      </c>
      <c r="T46" s="306">
        <f>R46/Q46</f>
        <v>0.50722964629896172</v>
      </c>
      <c r="U46" s="350"/>
      <c r="V46" s="350">
        <v>279.39999999999998</v>
      </c>
      <c r="W46" s="350">
        <f t="shared" ref="W46" si="41">V46-U46</f>
        <v>279.39999999999998</v>
      </c>
      <c r="X46" s="306"/>
      <c r="Y46" s="350"/>
      <c r="Z46" s="350"/>
      <c r="AA46" s="350">
        <f t="shared" ref="AA46" si="42">Z46-Y46</f>
        <v>0</v>
      </c>
      <c r="AB46" s="306"/>
      <c r="AC46" s="350">
        <f t="shared" si="38"/>
        <v>27373.4</v>
      </c>
      <c r="AD46" s="350">
        <f t="shared" si="38"/>
        <v>33070.800000000003</v>
      </c>
      <c r="AE46" s="350">
        <f t="shared" ref="AE46" si="43">AD46-AC46</f>
        <v>5697.4000000000015</v>
      </c>
      <c r="AF46" s="306">
        <f>AD46/AC46</f>
        <v>1.2081363659611155</v>
      </c>
    </row>
    <row r="47" spans="1:32" ht="39.75" customHeight="1">
      <c r="A47" s="323"/>
      <c r="B47" s="705" t="s">
        <v>646</v>
      </c>
      <c r="C47" s="706"/>
      <c r="D47" s="706"/>
      <c r="E47" s="706"/>
      <c r="F47" s="706"/>
      <c r="G47" s="706"/>
      <c r="H47" s="706"/>
      <c r="I47" s="706"/>
      <c r="J47" s="706"/>
      <c r="K47" s="706"/>
      <c r="L47" s="707"/>
      <c r="M47" s="350"/>
      <c r="N47" s="350"/>
      <c r="O47" s="350">
        <f t="shared" ref="O47:O48" si="44">N47-M47</f>
        <v>0</v>
      </c>
      <c r="P47" s="306"/>
      <c r="Q47" s="350"/>
      <c r="R47" s="350"/>
      <c r="S47" s="350">
        <f t="shared" ref="S47:S48" si="45">R47-Q47</f>
        <v>0</v>
      </c>
      <c r="T47" s="306"/>
      <c r="U47" s="350"/>
      <c r="V47" s="350">
        <v>47</v>
      </c>
      <c r="W47" s="350">
        <f t="shared" ref="W47:W48" si="46">V47-U47</f>
        <v>47</v>
      </c>
      <c r="X47" s="306"/>
      <c r="Y47" s="350"/>
      <c r="Z47" s="350"/>
      <c r="AA47" s="350">
        <f t="shared" ref="AA47:AA48" si="47">Z47-Y47</f>
        <v>0</v>
      </c>
      <c r="AB47" s="306"/>
      <c r="AC47" s="350">
        <f t="shared" ref="AC47:AC48" si="48">M47+Q47+U47+Y47</f>
        <v>0</v>
      </c>
      <c r="AD47" s="350">
        <f t="shared" ref="AD47:AD48" si="49">N47+R47+V47+Z47</f>
        <v>47</v>
      </c>
      <c r="AE47" s="350">
        <f t="shared" ref="AE47:AE48" si="50">AD47-AC47</f>
        <v>47</v>
      </c>
      <c r="AF47" s="306"/>
    </row>
    <row r="48" spans="1:32" ht="33.75" customHeight="1">
      <c r="A48" s="323"/>
      <c r="B48" s="612" t="s">
        <v>802</v>
      </c>
      <c r="C48" s="442"/>
      <c r="D48" s="442"/>
      <c r="E48" s="442"/>
      <c r="F48" s="442"/>
      <c r="G48" s="442"/>
      <c r="H48" s="442"/>
      <c r="I48" s="442"/>
      <c r="J48" s="442"/>
      <c r="K48" s="442"/>
      <c r="L48" s="613"/>
      <c r="M48" s="350"/>
      <c r="N48" s="350"/>
      <c r="O48" s="350">
        <f t="shared" si="44"/>
        <v>0</v>
      </c>
      <c r="P48" s="306"/>
      <c r="Q48" s="350"/>
      <c r="R48" s="350"/>
      <c r="S48" s="350">
        <f t="shared" si="45"/>
        <v>0</v>
      </c>
      <c r="T48" s="306"/>
      <c r="U48" s="350"/>
      <c r="V48" s="350">
        <v>1814</v>
      </c>
      <c r="W48" s="350">
        <f t="shared" si="46"/>
        <v>1814</v>
      </c>
      <c r="X48" s="306"/>
      <c r="Y48" s="350"/>
      <c r="Z48" s="350"/>
      <c r="AA48" s="350">
        <f t="shared" si="47"/>
        <v>0</v>
      </c>
      <c r="AB48" s="306"/>
      <c r="AC48" s="350">
        <f t="shared" si="48"/>
        <v>0</v>
      </c>
      <c r="AD48" s="350">
        <f t="shared" si="49"/>
        <v>1814</v>
      </c>
      <c r="AE48" s="350">
        <f t="shared" si="50"/>
        <v>1814</v>
      </c>
      <c r="AF48" s="306"/>
    </row>
    <row r="49" spans="1:32" s="199" customFormat="1" ht="33.75" customHeight="1">
      <c r="A49" s="94">
        <v>5</v>
      </c>
      <c r="B49" s="568" t="s">
        <v>637</v>
      </c>
      <c r="C49" s="569"/>
      <c r="D49" s="569"/>
      <c r="E49" s="569"/>
      <c r="F49" s="569"/>
      <c r="G49" s="569"/>
      <c r="H49" s="569"/>
      <c r="I49" s="569"/>
      <c r="J49" s="569"/>
      <c r="K49" s="569"/>
      <c r="L49" s="570"/>
      <c r="M49" s="343">
        <f>SUM(M50:M56)</f>
        <v>0</v>
      </c>
      <c r="N49" s="343">
        <f>SUM(N50:N56)</f>
        <v>0</v>
      </c>
      <c r="O49" s="343">
        <f>N49-M49</f>
        <v>0</v>
      </c>
      <c r="P49" s="305"/>
      <c r="Q49" s="343">
        <f>SUM(Q50:Q56)</f>
        <v>0</v>
      </c>
      <c r="R49" s="343">
        <f>SUM(R50:R56)</f>
        <v>0</v>
      </c>
      <c r="S49" s="343">
        <f>R49-Q49</f>
        <v>0</v>
      </c>
      <c r="T49" s="305"/>
      <c r="U49" s="343">
        <f>SUM(U50:U56)</f>
        <v>12788.800000000001</v>
      </c>
      <c r="V49" s="343">
        <f>SUM(V50:V56)</f>
        <v>0</v>
      </c>
      <c r="W49" s="343">
        <f>V49-U49</f>
        <v>-12788.800000000001</v>
      </c>
      <c r="X49" s="305">
        <f>V49/U49</f>
        <v>0</v>
      </c>
      <c r="Y49" s="343">
        <f>SUM(Y50:Y56)</f>
        <v>0</v>
      </c>
      <c r="Z49" s="343">
        <f>SUM(Z50:Z56)</f>
        <v>0</v>
      </c>
      <c r="AA49" s="343">
        <f>Z49-Y49</f>
        <v>0</v>
      </c>
      <c r="AB49" s="305"/>
      <c r="AC49" s="343">
        <f t="shared" si="38"/>
        <v>12788.800000000001</v>
      </c>
      <c r="AD49" s="343">
        <f t="shared" si="38"/>
        <v>0</v>
      </c>
      <c r="AE49" s="343">
        <f>AD49-AC49</f>
        <v>-12788.800000000001</v>
      </c>
      <c r="AF49" s="305">
        <f>AD49/AC49</f>
        <v>0</v>
      </c>
    </row>
    <row r="50" spans="1:32" ht="33.75" customHeight="1">
      <c r="A50" s="323"/>
      <c r="B50" s="612" t="s">
        <v>638</v>
      </c>
      <c r="C50" s="442"/>
      <c r="D50" s="442"/>
      <c r="E50" s="442"/>
      <c r="F50" s="442"/>
      <c r="G50" s="442"/>
      <c r="H50" s="442"/>
      <c r="I50" s="442"/>
      <c r="J50" s="442"/>
      <c r="K50" s="442"/>
      <c r="L50" s="613"/>
      <c r="M50" s="350"/>
      <c r="N50" s="350"/>
      <c r="O50" s="350">
        <f t="shared" si="39"/>
        <v>0</v>
      </c>
      <c r="P50" s="306"/>
      <c r="Q50" s="350"/>
      <c r="R50" s="350"/>
      <c r="S50" s="350">
        <f t="shared" ref="S50:S56" si="51">R50-Q50</f>
        <v>0</v>
      </c>
      <c r="T50" s="306"/>
      <c r="U50" s="350">
        <v>400.2</v>
      </c>
      <c r="V50" s="350"/>
      <c r="W50" s="350">
        <f t="shared" ref="W50:W56" si="52">V50-U50</f>
        <v>-400.2</v>
      </c>
      <c r="X50" s="306">
        <f>V50/U50</f>
        <v>0</v>
      </c>
      <c r="Y50" s="350"/>
      <c r="Z50" s="350"/>
      <c r="AA50" s="350">
        <f t="shared" ref="AA50:AA56" si="53">Z50-Y50</f>
        <v>0</v>
      </c>
      <c r="AB50" s="306"/>
      <c r="AC50" s="350">
        <f t="shared" si="38"/>
        <v>400.2</v>
      </c>
      <c r="AD50" s="350">
        <f t="shared" si="38"/>
        <v>0</v>
      </c>
      <c r="AE50" s="350">
        <f t="shared" ref="AE50:AE55" si="54">AD50-AC50</f>
        <v>-400.2</v>
      </c>
      <c r="AF50" s="306">
        <f>AD50/AC50</f>
        <v>0</v>
      </c>
    </row>
    <row r="51" spans="1:32" ht="46.95" customHeight="1">
      <c r="A51" s="323"/>
      <c r="B51" s="612" t="s">
        <v>639</v>
      </c>
      <c r="C51" s="442"/>
      <c r="D51" s="442"/>
      <c r="E51" s="442"/>
      <c r="F51" s="442"/>
      <c r="G51" s="442"/>
      <c r="H51" s="442"/>
      <c r="I51" s="442"/>
      <c r="J51" s="442"/>
      <c r="K51" s="442"/>
      <c r="L51" s="613"/>
      <c r="M51" s="350"/>
      <c r="N51" s="350"/>
      <c r="O51" s="350">
        <f t="shared" si="39"/>
        <v>0</v>
      </c>
      <c r="P51" s="306"/>
      <c r="Q51" s="350"/>
      <c r="R51" s="350"/>
      <c r="S51" s="350">
        <f t="shared" si="51"/>
        <v>0</v>
      </c>
      <c r="T51" s="306"/>
      <c r="U51" s="350">
        <v>1234.9000000000001</v>
      </c>
      <c r="V51" s="350"/>
      <c r="W51" s="350">
        <f t="shared" si="52"/>
        <v>-1234.9000000000001</v>
      </c>
      <c r="X51" s="306">
        <f t="shared" ref="X51:X56" si="55">V51/U51</f>
        <v>0</v>
      </c>
      <c r="Y51" s="350"/>
      <c r="Z51" s="350"/>
      <c r="AA51" s="350">
        <f t="shared" si="53"/>
        <v>0</v>
      </c>
      <c r="AB51" s="306"/>
      <c r="AC51" s="350">
        <f t="shared" ref="AC51:AC54" si="56">M51+Q51+U51+Y51</f>
        <v>1234.9000000000001</v>
      </c>
      <c r="AD51" s="350">
        <f t="shared" ref="AD51:AD55" si="57">N51+R51+V51+Z51</f>
        <v>0</v>
      </c>
      <c r="AE51" s="350">
        <f t="shared" si="54"/>
        <v>-1234.9000000000001</v>
      </c>
      <c r="AF51" s="306">
        <f t="shared" ref="AF51:AF55" si="58">AD51/AC51</f>
        <v>0</v>
      </c>
    </row>
    <row r="52" spans="1:32" ht="46.95" customHeight="1">
      <c r="A52" s="323"/>
      <c r="B52" s="612" t="s">
        <v>640</v>
      </c>
      <c r="C52" s="442"/>
      <c r="D52" s="442"/>
      <c r="E52" s="442"/>
      <c r="F52" s="442"/>
      <c r="G52" s="442"/>
      <c r="H52" s="442"/>
      <c r="I52" s="442"/>
      <c r="J52" s="442"/>
      <c r="K52" s="442"/>
      <c r="L52" s="613"/>
      <c r="M52" s="350"/>
      <c r="N52" s="350"/>
      <c r="O52" s="350">
        <f t="shared" si="39"/>
        <v>0</v>
      </c>
      <c r="P52" s="306"/>
      <c r="Q52" s="350"/>
      <c r="R52" s="350"/>
      <c r="S52" s="350">
        <f t="shared" si="51"/>
        <v>0</v>
      </c>
      <c r="T52" s="306"/>
      <c r="U52" s="350">
        <v>321.7</v>
      </c>
      <c r="V52" s="350"/>
      <c r="W52" s="350">
        <f t="shared" si="52"/>
        <v>-321.7</v>
      </c>
      <c r="X52" s="306">
        <f t="shared" si="55"/>
        <v>0</v>
      </c>
      <c r="Y52" s="350"/>
      <c r="Z52" s="350"/>
      <c r="AA52" s="350">
        <f t="shared" si="53"/>
        <v>0</v>
      </c>
      <c r="AB52" s="306"/>
      <c r="AC52" s="350">
        <f t="shared" si="56"/>
        <v>321.7</v>
      </c>
      <c r="AD52" s="350">
        <f t="shared" si="57"/>
        <v>0</v>
      </c>
      <c r="AE52" s="350">
        <f t="shared" si="54"/>
        <v>-321.7</v>
      </c>
      <c r="AF52" s="306">
        <f t="shared" si="58"/>
        <v>0</v>
      </c>
    </row>
    <row r="53" spans="1:32" ht="50.4" customHeight="1">
      <c r="A53" s="323"/>
      <c r="B53" s="612" t="s">
        <v>641</v>
      </c>
      <c r="C53" s="442"/>
      <c r="D53" s="442"/>
      <c r="E53" s="442"/>
      <c r="F53" s="442"/>
      <c r="G53" s="442"/>
      <c r="H53" s="442"/>
      <c r="I53" s="442"/>
      <c r="J53" s="442"/>
      <c r="K53" s="442"/>
      <c r="L53" s="613"/>
      <c r="M53" s="350"/>
      <c r="N53" s="350"/>
      <c r="O53" s="350">
        <f t="shared" si="39"/>
        <v>0</v>
      </c>
      <c r="P53" s="306"/>
      <c r="Q53" s="350"/>
      <c r="R53" s="350"/>
      <c r="S53" s="350">
        <f t="shared" si="51"/>
        <v>0</v>
      </c>
      <c r="T53" s="306"/>
      <c r="U53" s="350">
        <v>644.4</v>
      </c>
      <c r="V53" s="350"/>
      <c r="W53" s="350">
        <f t="shared" si="52"/>
        <v>-644.4</v>
      </c>
      <c r="X53" s="306">
        <f t="shared" si="55"/>
        <v>0</v>
      </c>
      <c r="Y53" s="350"/>
      <c r="Z53" s="350"/>
      <c r="AA53" s="350">
        <f t="shared" si="53"/>
        <v>0</v>
      </c>
      <c r="AB53" s="306"/>
      <c r="AC53" s="350">
        <f t="shared" si="56"/>
        <v>644.4</v>
      </c>
      <c r="AD53" s="350">
        <f t="shared" si="57"/>
        <v>0</v>
      </c>
      <c r="AE53" s="350">
        <f t="shared" si="54"/>
        <v>-644.4</v>
      </c>
      <c r="AF53" s="306">
        <f t="shared" si="58"/>
        <v>0</v>
      </c>
    </row>
    <row r="54" spans="1:32" ht="33.75" customHeight="1">
      <c r="A54" s="323"/>
      <c r="B54" s="612" t="s">
        <v>642</v>
      </c>
      <c r="C54" s="442"/>
      <c r="D54" s="442"/>
      <c r="E54" s="442"/>
      <c r="F54" s="442"/>
      <c r="G54" s="442"/>
      <c r="H54" s="442"/>
      <c r="I54" s="442"/>
      <c r="J54" s="442"/>
      <c r="K54" s="442"/>
      <c r="L54" s="613"/>
      <c r="M54" s="350"/>
      <c r="N54" s="350"/>
      <c r="O54" s="350">
        <f t="shared" si="39"/>
        <v>0</v>
      </c>
      <c r="P54" s="306"/>
      <c r="Q54" s="350"/>
      <c r="R54" s="350"/>
      <c r="S54" s="350">
        <f t="shared" si="51"/>
        <v>0</v>
      </c>
      <c r="T54" s="306"/>
      <c r="U54" s="350">
        <v>6055</v>
      </c>
      <c r="V54" s="350"/>
      <c r="W54" s="350">
        <f t="shared" si="52"/>
        <v>-6055</v>
      </c>
      <c r="X54" s="306">
        <f t="shared" si="55"/>
        <v>0</v>
      </c>
      <c r="Y54" s="350"/>
      <c r="Z54" s="350"/>
      <c r="AA54" s="350">
        <f t="shared" si="53"/>
        <v>0</v>
      </c>
      <c r="AB54" s="306"/>
      <c r="AC54" s="350">
        <f t="shared" si="56"/>
        <v>6055</v>
      </c>
      <c r="AD54" s="350">
        <f t="shared" si="57"/>
        <v>0</v>
      </c>
      <c r="AE54" s="350">
        <f t="shared" si="54"/>
        <v>-6055</v>
      </c>
      <c r="AF54" s="306">
        <f t="shared" si="58"/>
        <v>0</v>
      </c>
    </row>
    <row r="55" spans="1:32" ht="33.75" customHeight="1">
      <c r="A55" s="323"/>
      <c r="B55" s="612" t="s">
        <v>643</v>
      </c>
      <c r="C55" s="442"/>
      <c r="D55" s="442"/>
      <c r="E55" s="442"/>
      <c r="F55" s="442"/>
      <c r="G55" s="442"/>
      <c r="H55" s="442"/>
      <c r="I55" s="442"/>
      <c r="J55" s="442"/>
      <c r="K55" s="442"/>
      <c r="L55" s="613"/>
      <c r="M55" s="350"/>
      <c r="N55" s="350"/>
      <c r="O55" s="350">
        <f t="shared" si="39"/>
        <v>0</v>
      </c>
      <c r="P55" s="306"/>
      <c r="Q55" s="350"/>
      <c r="R55" s="350"/>
      <c r="S55" s="350">
        <f t="shared" si="51"/>
        <v>0</v>
      </c>
      <c r="T55" s="306"/>
      <c r="U55" s="350">
        <v>1132.5999999999999</v>
      </c>
      <c r="V55" s="350"/>
      <c r="W55" s="350">
        <f t="shared" si="52"/>
        <v>-1132.5999999999999</v>
      </c>
      <c r="X55" s="306">
        <f t="shared" si="55"/>
        <v>0</v>
      </c>
      <c r="Y55" s="350"/>
      <c r="Z55" s="350"/>
      <c r="AA55" s="350">
        <f t="shared" si="53"/>
        <v>0</v>
      </c>
      <c r="AB55" s="306"/>
      <c r="AC55" s="350">
        <f>M55+Q55+U55+Y55</f>
        <v>1132.5999999999999</v>
      </c>
      <c r="AD55" s="350">
        <f t="shared" si="57"/>
        <v>0</v>
      </c>
      <c r="AE55" s="350">
        <f t="shared" si="54"/>
        <v>-1132.5999999999999</v>
      </c>
      <c r="AF55" s="306">
        <f t="shared" si="58"/>
        <v>0</v>
      </c>
    </row>
    <row r="56" spans="1:32" ht="28.5" customHeight="1">
      <c r="A56" s="323"/>
      <c r="B56" s="612" t="s">
        <v>644</v>
      </c>
      <c r="C56" s="442"/>
      <c r="D56" s="442"/>
      <c r="E56" s="442"/>
      <c r="F56" s="442"/>
      <c r="G56" s="442"/>
      <c r="H56" s="442"/>
      <c r="I56" s="442"/>
      <c r="J56" s="442"/>
      <c r="K56" s="442"/>
      <c r="L56" s="613"/>
      <c r="M56" s="54"/>
      <c r="N56" s="54"/>
      <c r="O56" s="350">
        <f t="shared" si="39"/>
        <v>0</v>
      </c>
      <c r="P56" s="306"/>
      <c r="Q56" s="54"/>
      <c r="R56" s="54"/>
      <c r="S56" s="350">
        <f t="shared" si="51"/>
        <v>0</v>
      </c>
      <c r="T56" s="306"/>
      <c r="U56" s="54">
        <v>3000</v>
      </c>
      <c r="V56" s="155"/>
      <c r="W56" s="350">
        <f t="shared" si="52"/>
        <v>-3000</v>
      </c>
      <c r="X56" s="306">
        <f t="shared" si="55"/>
        <v>0</v>
      </c>
      <c r="Y56" s="155"/>
      <c r="Z56" s="155"/>
      <c r="AA56" s="350">
        <f t="shared" si="53"/>
        <v>0</v>
      </c>
      <c r="AB56" s="306"/>
      <c r="AC56" s="350">
        <f>M56+Q56+U56+Y56</f>
        <v>3000</v>
      </c>
      <c r="AD56" s="350">
        <f t="shared" ref="AD56" si="59">N56+R56+V56+Z56</f>
        <v>0</v>
      </c>
      <c r="AE56" s="350">
        <f t="shared" ref="AE56" si="60">AD56-AC56</f>
        <v>-3000</v>
      </c>
      <c r="AF56" s="306">
        <f t="shared" ref="AF56" si="61">AD56/AC56</f>
        <v>0</v>
      </c>
    </row>
    <row r="57" spans="1:32" ht="33.75" customHeight="1">
      <c r="A57" s="702" t="s">
        <v>49</v>
      </c>
      <c r="B57" s="703"/>
      <c r="C57" s="703"/>
      <c r="D57" s="703"/>
      <c r="E57" s="703"/>
      <c r="F57" s="703"/>
      <c r="G57" s="703"/>
      <c r="H57" s="703"/>
      <c r="I57" s="703"/>
      <c r="J57" s="703"/>
      <c r="K57" s="703"/>
      <c r="L57" s="704"/>
      <c r="M57" s="51">
        <f>M33+M45+M49</f>
        <v>0</v>
      </c>
      <c r="N57" s="51">
        <f>N31+N33+N43+N45+N49</f>
        <v>79876.5</v>
      </c>
      <c r="O57" s="51">
        <f>O31+O33+O43+O45+O49</f>
        <v>79876.5</v>
      </c>
      <c r="P57" s="307"/>
      <c r="Q57" s="51">
        <f>Q31+Q33+Q43+Q45+Q49</f>
        <v>74493.8</v>
      </c>
      <c r="R57" s="51">
        <f>R31+R33+R43+R45+R49</f>
        <v>78279.5</v>
      </c>
      <c r="S57" s="51">
        <f>R57-Q57</f>
        <v>3785.6999999999971</v>
      </c>
      <c r="T57" s="307">
        <f>R57/Q57</f>
        <v>1.0508189943324142</v>
      </c>
      <c r="U57" s="51">
        <f>U31+U33+U43+U45+U49</f>
        <v>13688.800000000001</v>
      </c>
      <c r="V57" s="51">
        <f>V31+V33+V43+V45+V49</f>
        <v>3450.6</v>
      </c>
      <c r="W57" s="51">
        <f>V57-U57</f>
        <v>-10238.200000000001</v>
      </c>
      <c r="X57" s="307">
        <f>V57/U57</f>
        <v>0.25207468879668049</v>
      </c>
      <c r="Y57" s="51">
        <f>Y31+Y33+Y43+Y45+Y49</f>
        <v>0</v>
      </c>
      <c r="Z57" s="51">
        <f>Z31+Z33+Z43+Z45+Z49</f>
        <v>0</v>
      </c>
      <c r="AA57" s="51">
        <f>Z57-Y57</f>
        <v>0</v>
      </c>
      <c r="AB57" s="307"/>
      <c r="AC57" s="51">
        <f>AC31+AC33+AC43+AC45+AC49</f>
        <v>88182.6</v>
      </c>
      <c r="AD57" s="51">
        <f>AD31+AD33+AD43+AD45+AD49</f>
        <v>161606.6</v>
      </c>
      <c r="AE57" s="51">
        <f>AD57-AC57</f>
        <v>73424</v>
      </c>
      <c r="AF57" s="307">
        <f>AD57/AC57</f>
        <v>1.8326359168362012</v>
      </c>
    </row>
    <row r="58" spans="1:32" ht="34.5" customHeight="1">
      <c r="A58" s="695" t="s">
        <v>50</v>
      </c>
      <c r="B58" s="696"/>
      <c r="C58" s="696"/>
      <c r="D58" s="696"/>
      <c r="E58" s="696"/>
      <c r="F58" s="696"/>
      <c r="G58" s="696"/>
      <c r="H58" s="696"/>
      <c r="I58" s="696"/>
      <c r="J58" s="696"/>
      <c r="K58" s="696"/>
      <c r="L58" s="697"/>
      <c r="M58" s="95">
        <f>M57/AC57*100</f>
        <v>0</v>
      </c>
      <c r="N58" s="95"/>
      <c r="O58" s="95"/>
      <c r="P58" s="95"/>
      <c r="Q58" s="95">
        <f>Q57/AC57*100</f>
        <v>84.476756185460616</v>
      </c>
      <c r="R58" s="95"/>
      <c r="S58" s="95"/>
      <c r="T58" s="95"/>
      <c r="U58" s="95">
        <f>U57/AC57*100</f>
        <v>15.523243814539375</v>
      </c>
      <c r="V58" s="95">
        <f>V57/AD57*100</f>
        <v>2.1351850728868746</v>
      </c>
      <c r="W58" s="95"/>
      <c r="X58" s="95"/>
      <c r="Y58" s="95">
        <f>Y57/AC57*100</f>
        <v>0</v>
      </c>
      <c r="Z58" s="95">
        <f>Z57/AD57*100</f>
        <v>0</v>
      </c>
      <c r="AA58" s="95"/>
      <c r="AB58" s="95"/>
      <c r="AC58" s="95">
        <f>SUM(M58,Q58,U58,Y58)</f>
        <v>99.999999999999986</v>
      </c>
      <c r="AD58" s="95">
        <f>SUM(N58,R58,V58,Z58)</f>
        <v>2.1351850728868746</v>
      </c>
      <c r="AE58" s="95"/>
      <c r="AF58" s="95"/>
    </row>
    <row r="59" spans="1:32" ht="15" customHeight="1">
      <c r="A59" s="86"/>
      <c r="B59" s="86"/>
      <c r="C59" s="86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68"/>
      <c r="X59" s="68"/>
      <c r="Y59" s="68"/>
      <c r="Z59" s="68"/>
      <c r="AA59" s="68"/>
      <c r="AB59" s="68"/>
      <c r="AC59" s="68"/>
      <c r="AD59" s="68"/>
      <c r="AE59" s="68"/>
      <c r="AF59" s="68"/>
    </row>
    <row r="60" spans="1:32" ht="15" customHeight="1">
      <c r="A60" s="86"/>
      <c r="B60" s="86"/>
      <c r="C60" s="86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68"/>
      <c r="X60" s="68"/>
      <c r="Y60" s="68"/>
      <c r="Z60" s="68"/>
      <c r="AA60" s="68"/>
      <c r="AB60" s="68"/>
      <c r="AC60" s="68"/>
      <c r="AD60" s="68"/>
      <c r="AE60" s="68"/>
      <c r="AF60" s="68"/>
    </row>
    <row r="61" spans="1:32" s="39" customFormat="1" ht="31.5" customHeight="1">
      <c r="A61" s="82"/>
      <c r="B61" s="82"/>
      <c r="C61" s="82" t="s">
        <v>341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</row>
    <row r="62" spans="1:32" s="40" customFormat="1" ht="2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88"/>
      <c r="L62" s="6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708" t="s">
        <v>317</v>
      </c>
      <c r="AE62" s="708"/>
      <c r="AF62" s="708"/>
    </row>
    <row r="63" spans="1:32" s="41" customFormat="1" ht="34.5" customHeight="1">
      <c r="A63" s="440" t="s">
        <v>46</v>
      </c>
      <c r="B63" s="596" t="s">
        <v>174</v>
      </c>
      <c r="C63" s="598"/>
      <c r="D63" s="441" t="s">
        <v>176</v>
      </c>
      <c r="E63" s="441"/>
      <c r="F63" s="441" t="s">
        <v>125</v>
      </c>
      <c r="G63" s="441"/>
      <c r="H63" s="441" t="s">
        <v>278</v>
      </c>
      <c r="I63" s="441"/>
      <c r="J63" s="441" t="s">
        <v>279</v>
      </c>
      <c r="K63" s="441"/>
      <c r="L63" s="441" t="s">
        <v>427</v>
      </c>
      <c r="M63" s="441"/>
      <c r="N63" s="441"/>
      <c r="O63" s="441"/>
      <c r="P63" s="441"/>
      <c r="Q63" s="441"/>
      <c r="R63" s="441"/>
      <c r="S63" s="441"/>
      <c r="T63" s="441"/>
      <c r="U63" s="441"/>
      <c r="V63" s="441" t="s">
        <v>175</v>
      </c>
      <c r="W63" s="441"/>
      <c r="X63" s="441"/>
      <c r="Y63" s="441"/>
      <c r="Z63" s="441"/>
      <c r="AA63" s="441" t="s">
        <v>281</v>
      </c>
      <c r="AB63" s="441"/>
      <c r="AC63" s="441"/>
      <c r="AD63" s="441"/>
      <c r="AE63" s="441"/>
      <c r="AF63" s="441"/>
    </row>
    <row r="64" spans="1:32" s="41" customFormat="1" ht="52.5" customHeight="1">
      <c r="A64" s="440"/>
      <c r="B64" s="610"/>
      <c r="C64" s="611"/>
      <c r="D64" s="441"/>
      <c r="E64" s="441"/>
      <c r="F64" s="441"/>
      <c r="G64" s="441"/>
      <c r="H64" s="441"/>
      <c r="I64" s="441"/>
      <c r="J64" s="441"/>
      <c r="K64" s="441"/>
      <c r="L64" s="441" t="s">
        <v>160</v>
      </c>
      <c r="M64" s="441"/>
      <c r="N64" s="441" t="s">
        <v>163</v>
      </c>
      <c r="O64" s="441"/>
      <c r="P64" s="441" t="s">
        <v>164</v>
      </c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  <c r="AE64" s="441"/>
      <c r="AF64" s="441"/>
    </row>
    <row r="65" spans="1:32" s="42" customFormat="1" ht="100.5" customHeight="1">
      <c r="A65" s="440"/>
      <c r="B65" s="599"/>
      <c r="C65" s="601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441"/>
      <c r="O65" s="441"/>
      <c r="P65" s="441" t="s">
        <v>161</v>
      </c>
      <c r="Q65" s="441"/>
      <c r="R65" s="441" t="s">
        <v>162</v>
      </c>
      <c r="S65" s="441"/>
      <c r="T65" s="441" t="s">
        <v>803</v>
      </c>
      <c r="U65" s="441"/>
      <c r="V65" s="441"/>
      <c r="W65" s="441"/>
      <c r="X65" s="441"/>
      <c r="Y65" s="441"/>
      <c r="Z65" s="441"/>
      <c r="AA65" s="441"/>
      <c r="AB65" s="441"/>
      <c r="AC65" s="441"/>
      <c r="AD65" s="441"/>
      <c r="AE65" s="441"/>
      <c r="AF65" s="441"/>
    </row>
    <row r="66" spans="1:32" s="41" customFormat="1" ht="24" customHeight="1">
      <c r="A66" s="71">
        <v>1</v>
      </c>
      <c r="B66" s="560">
        <v>2</v>
      </c>
      <c r="C66" s="561"/>
      <c r="D66" s="441">
        <v>3</v>
      </c>
      <c r="E66" s="441"/>
      <c r="F66" s="441">
        <v>4</v>
      </c>
      <c r="G66" s="441"/>
      <c r="H66" s="441">
        <v>5</v>
      </c>
      <c r="I66" s="441"/>
      <c r="J66" s="441">
        <v>6</v>
      </c>
      <c r="K66" s="441"/>
      <c r="L66" s="560">
        <v>7</v>
      </c>
      <c r="M66" s="561"/>
      <c r="N66" s="560">
        <v>8</v>
      </c>
      <c r="O66" s="561"/>
      <c r="P66" s="441">
        <v>9</v>
      </c>
      <c r="Q66" s="441"/>
      <c r="R66" s="440">
        <v>10</v>
      </c>
      <c r="S66" s="440"/>
      <c r="T66" s="441">
        <v>11</v>
      </c>
      <c r="U66" s="441"/>
      <c r="V66" s="441">
        <v>12</v>
      </c>
      <c r="W66" s="441"/>
      <c r="X66" s="441"/>
      <c r="Y66" s="441"/>
      <c r="Z66" s="441"/>
      <c r="AA66" s="441">
        <v>13</v>
      </c>
      <c r="AB66" s="441"/>
      <c r="AC66" s="441"/>
      <c r="AD66" s="441"/>
      <c r="AE66" s="441"/>
      <c r="AF66" s="441"/>
    </row>
    <row r="67" spans="1:32" s="41" customFormat="1" ht="46.95" customHeight="1">
      <c r="A67" s="351">
        <v>1</v>
      </c>
      <c r="B67" s="693" t="s">
        <v>805</v>
      </c>
      <c r="C67" s="694"/>
      <c r="D67" s="628" t="s">
        <v>806</v>
      </c>
      <c r="E67" s="628"/>
      <c r="F67" s="567"/>
      <c r="G67" s="567"/>
      <c r="H67" s="567"/>
      <c r="I67" s="567"/>
      <c r="J67" s="567"/>
      <c r="K67" s="567"/>
      <c r="L67" s="549"/>
      <c r="M67" s="551"/>
      <c r="N67" s="549"/>
      <c r="O67" s="551"/>
      <c r="P67" s="567">
        <v>3047.3</v>
      </c>
      <c r="Q67" s="567"/>
      <c r="R67" s="567"/>
      <c r="S67" s="567"/>
      <c r="T67" s="567">
        <v>3600</v>
      </c>
      <c r="U67" s="567"/>
      <c r="V67" s="625" t="s">
        <v>804</v>
      </c>
      <c r="W67" s="625"/>
      <c r="X67" s="625"/>
      <c r="Y67" s="625"/>
      <c r="Z67" s="625"/>
      <c r="AA67" s="682"/>
      <c r="AB67" s="682"/>
      <c r="AC67" s="682"/>
      <c r="AD67" s="682"/>
      <c r="AE67" s="682"/>
      <c r="AF67" s="682"/>
    </row>
    <row r="68" spans="1:32" s="41" customFormat="1" ht="37.5" customHeight="1">
      <c r="A68" s="709" t="s">
        <v>49</v>
      </c>
      <c r="B68" s="710"/>
      <c r="C68" s="710"/>
      <c r="D68" s="710"/>
      <c r="E68" s="711"/>
      <c r="F68" s="578">
        <f>SUM(F67:F67)</f>
        <v>0</v>
      </c>
      <c r="G68" s="578"/>
      <c r="H68" s="578">
        <f>SUM(H67:H67)</f>
        <v>0</v>
      </c>
      <c r="I68" s="578"/>
      <c r="J68" s="578">
        <f>SUM(J67:J67)</f>
        <v>0</v>
      </c>
      <c r="K68" s="578"/>
      <c r="L68" s="578"/>
      <c r="M68" s="578"/>
      <c r="N68" s="578"/>
      <c r="O68" s="578"/>
      <c r="P68" s="578"/>
      <c r="Q68" s="578"/>
      <c r="R68" s="578"/>
      <c r="S68" s="578"/>
      <c r="T68" s="578"/>
      <c r="U68" s="578"/>
      <c r="V68" s="627"/>
      <c r="W68" s="627"/>
      <c r="X68" s="627"/>
      <c r="Y68" s="627"/>
      <c r="Z68" s="627"/>
      <c r="AA68" s="594"/>
      <c r="AB68" s="594"/>
      <c r="AC68" s="594"/>
      <c r="AD68" s="594"/>
      <c r="AE68" s="594"/>
      <c r="AF68" s="594"/>
    </row>
    <row r="69" spans="1:32" ht="15" customHeight="1">
      <c r="A69" s="86"/>
      <c r="B69" s="86"/>
      <c r="C69" s="86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68"/>
      <c r="X69" s="68"/>
      <c r="Y69" s="68"/>
      <c r="Z69" s="68"/>
      <c r="AA69" s="68"/>
      <c r="AB69" s="68"/>
      <c r="AC69" s="68"/>
      <c r="AD69" s="68"/>
      <c r="AE69" s="68"/>
      <c r="AF69" s="68"/>
    </row>
    <row r="70" spans="1:32" ht="15" customHeight="1">
      <c r="A70" s="86"/>
      <c r="B70" s="86"/>
      <c r="C70" s="86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68"/>
      <c r="X70" s="68"/>
      <c r="Y70" s="68"/>
      <c r="Z70" s="68"/>
      <c r="AA70" s="68"/>
      <c r="AB70" s="68"/>
      <c r="AC70" s="68"/>
      <c r="AD70" s="68"/>
      <c r="AE70" s="68"/>
      <c r="AF70" s="68"/>
    </row>
    <row r="71" spans="1:32" ht="15" customHeight="1">
      <c r="A71" s="86"/>
      <c r="B71" s="86"/>
      <c r="C71" s="86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68"/>
      <c r="X71" s="68"/>
      <c r="Y71" s="68"/>
      <c r="Z71" s="68"/>
      <c r="AA71" s="68"/>
      <c r="AB71" s="68"/>
      <c r="AC71" s="68"/>
      <c r="AD71" s="68"/>
      <c r="AE71" s="68"/>
      <c r="AF71" s="68"/>
    </row>
    <row r="72" spans="1:32" ht="15" customHeight="1">
      <c r="A72" s="86"/>
      <c r="B72" s="86"/>
      <c r="C72" s="86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68"/>
      <c r="X72" s="68"/>
      <c r="Y72" s="68"/>
      <c r="Z72" s="68"/>
      <c r="AA72" s="68"/>
      <c r="AB72" s="68"/>
      <c r="AC72" s="68"/>
      <c r="AD72" s="68"/>
      <c r="AE72" s="68"/>
      <c r="AF72" s="68"/>
    </row>
    <row r="73" spans="1:32" s="214" customFormat="1" ht="32.25" customHeight="1">
      <c r="A73" s="211"/>
      <c r="B73" s="626" t="s">
        <v>828</v>
      </c>
      <c r="C73" s="626"/>
      <c r="D73" s="626"/>
      <c r="E73" s="626"/>
      <c r="F73" s="626"/>
      <c r="G73" s="626"/>
      <c r="H73" s="212"/>
      <c r="I73" s="212"/>
      <c r="J73" s="212"/>
      <c r="K73" s="212"/>
      <c r="L73" s="212"/>
      <c r="M73" s="624" t="s">
        <v>159</v>
      </c>
      <c r="N73" s="624"/>
      <c r="O73" s="624"/>
      <c r="P73" s="624"/>
      <c r="Q73" s="624"/>
      <c r="R73" s="212"/>
      <c r="S73" s="212"/>
      <c r="T73" s="212"/>
      <c r="U73" s="212"/>
      <c r="V73" s="212"/>
      <c r="W73" s="626" t="s">
        <v>555</v>
      </c>
      <c r="X73" s="626"/>
      <c r="Y73" s="626"/>
      <c r="Z73" s="626"/>
      <c r="AA73" s="626"/>
      <c r="AB73" s="213"/>
      <c r="AC73" s="213"/>
      <c r="AD73" s="213"/>
      <c r="AE73" s="213"/>
      <c r="AF73" s="213"/>
    </row>
    <row r="74" spans="1:32" s="354" customFormat="1" ht="33.75" hidden="1" customHeight="1">
      <c r="B74" s="623" t="s">
        <v>64</v>
      </c>
      <c r="C74" s="623"/>
      <c r="D74" s="623"/>
      <c r="E74" s="623"/>
      <c r="F74" s="623"/>
      <c r="G74" s="623"/>
      <c r="H74" s="215"/>
      <c r="I74" s="215"/>
      <c r="J74" s="215"/>
      <c r="K74" s="215"/>
      <c r="L74" s="215"/>
      <c r="M74" s="623" t="s">
        <v>65</v>
      </c>
      <c r="N74" s="623"/>
      <c r="O74" s="623"/>
      <c r="P74" s="623"/>
      <c r="Q74" s="623"/>
      <c r="V74" s="182"/>
      <c r="W74" s="623" t="s">
        <v>92</v>
      </c>
      <c r="X74" s="623"/>
      <c r="Y74" s="623"/>
      <c r="Z74" s="623"/>
      <c r="AA74" s="623"/>
    </row>
    <row r="75" spans="1:32" s="348" customFormat="1">
      <c r="F75" s="171"/>
      <c r="G75" s="171"/>
      <c r="H75" s="171"/>
      <c r="I75" s="171"/>
      <c r="J75" s="171"/>
      <c r="K75" s="171"/>
      <c r="L75" s="171"/>
      <c r="Q75" s="171"/>
      <c r="R75" s="171"/>
      <c r="S75" s="171"/>
      <c r="T75" s="171"/>
      <c r="X75" s="171"/>
      <c r="Y75" s="171"/>
      <c r="Z75" s="171"/>
      <c r="AA75" s="171"/>
    </row>
    <row r="76" spans="1:32">
      <c r="C76" s="43"/>
      <c r="D76" s="43"/>
      <c r="E76" s="43"/>
      <c r="F76" s="43"/>
      <c r="G76" s="43"/>
      <c r="H76" s="43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3"/>
      <c r="V76" s="43"/>
    </row>
    <row r="77" spans="1:32" s="701" customFormat="1" ht="13.2" customHeight="1">
      <c r="A77" s="701" t="s">
        <v>324</v>
      </c>
    </row>
    <row r="78" spans="1:32"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</row>
    <row r="79" spans="1:32">
      <c r="C79" s="45"/>
    </row>
    <row r="82" spans="3:3">
      <c r="C82" s="46"/>
    </row>
    <row r="83" spans="3:3">
      <c r="C83" s="46"/>
    </row>
    <row r="84" spans="3:3">
      <c r="C84" s="46"/>
    </row>
    <row r="85" spans="3:3">
      <c r="C85" s="46"/>
    </row>
    <row r="86" spans="3:3">
      <c r="C86" s="46"/>
    </row>
    <row r="87" spans="3:3">
      <c r="C87" s="46"/>
    </row>
    <row r="88" spans="3:3">
      <c r="C88" s="46"/>
    </row>
  </sheetData>
  <mergeCells count="216">
    <mergeCell ref="A77:XFD77"/>
    <mergeCell ref="A57:L57"/>
    <mergeCell ref="B49:L49"/>
    <mergeCell ref="B46:L46"/>
    <mergeCell ref="B45:L45"/>
    <mergeCell ref="B39:L39"/>
    <mergeCell ref="B38:L38"/>
    <mergeCell ref="B37:L37"/>
    <mergeCell ref="B36:L36"/>
    <mergeCell ref="B40:L40"/>
    <mergeCell ref="B41:L41"/>
    <mergeCell ref="B42:L42"/>
    <mergeCell ref="B47:L47"/>
    <mergeCell ref="B48:L48"/>
    <mergeCell ref="H67:I67"/>
    <mergeCell ref="J67:K67"/>
    <mergeCell ref="AA63:AF65"/>
    <mergeCell ref="AD62:AF62"/>
    <mergeCell ref="B66:C66"/>
    <mergeCell ref="A68:E68"/>
    <mergeCell ref="T67:U67"/>
    <mergeCell ref="D66:E66"/>
    <mergeCell ref="V66:Z66"/>
    <mergeCell ref="T65:U65"/>
    <mergeCell ref="AA68:AF68"/>
    <mergeCell ref="T28:T29"/>
    <mergeCell ref="V28:V29"/>
    <mergeCell ref="B27:L29"/>
    <mergeCell ref="D63:E65"/>
    <mergeCell ref="AD22:AF22"/>
    <mergeCell ref="AD26:AF26"/>
    <mergeCell ref="Q27:T27"/>
    <mergeCell ref="V63:Z65"/>
    <mergeCell ref="F67:G67"/>
    <mergeCell ref="B67:C67"/>
    <mergeCell ref="R67:S67"/>
    <mergeCell ref="R28:R29"/>
    <mergeCell ref="AC28:AC29"/>
    <mergeCell ref="AA66:AF66"/>
    <mergeCell ref="AD28:AD29"/>
    <mergeCell ref="B55:L55"/>
    <mergeCell ref="A58:L58"/>
    <mergeCell ref="A63:A65"/>
    <mergeCell ref="J63:K65"/>
    <mergeCell ref="L66:M66"/>
    <mergeCell ref="B56:L56"/>
    <mergeCell ref="B44:L44"/>
    <mergeCell ref="J66:K66"/>
    <mergeCell ref="P65:Q65"/>
    <mergeCell ref="F66:G66"/>
    <mergeCell ref="B54:L54"/>
    <mergeCell ref="P64:U64"/>
    <mergeCell ref="R65:S65"/>
    <mergeCell ref="AD1:AF1"/>
    <mergeCell ref="AA67:AF67"/>
    <mergeCell ref="X28:X29"/>
    <mergeCell ref="B33:L33"/>
    <mergeCell ref="D21:G21"/>
    <mergeCell ref="B21:C21"/>
    <mergeCell ref="D20:G20"/>
    <mergeCell ref="W28:W29"/>
    <mergeCell ref="P21:Q21"/>
    <mergeCell ref="P20:Q20"/>
    <mergeCell ref="D7:F7"/>
    <mergeCell ref="G7:Q7"/>
    <mergeCell ref="G8:Q8"/>
    <mergeCell ref="G9:Q9"/>
    <mergeCell ref="R12:T12"/>
    <mergeCell ref="B11:C11"/>
    <mergeCell ref="D11:F11"/>
    <mergeCell ref="B9:C9"/>
    <mergeCell ref="B8:C8"/>
    <mergeCell ref="B7:C7"/>
    <mergeCell ref="D9:F9"/>
    <mergeCell ref="P28:P29"/>
    <mergeCell ref="M28:M29"/>
    <mergeCell ref="N28:N29"/>
    <mergeCell ref="B31:L31"/>
    <mergeCell ref="A27:A29"/>
    <mergeCell ref="AE28:AE29"/>
    <mergeCell ref="AF28:AF29"/>
    <mergeCell ref="Y27:AB27"/>
    <mergeCell ref="D17:G19"/>
    <mergeCell ref="P17:Q19"/>
    <mergeCell ref="R17:Z17"/>
    <mergeCell ref="A17:A19"/>
    <mergeCell ref="H17:O19"/>
    <mergeCell ref="M27:P27"/>
    <mergeCell ref="H21:O21"/>
    <mergeCell ref="H20:O20"/>
    <mergeCell ref="A22:Q22"/>
    <mergeCell ref="AA17:AC19"/>
    <mergeCell ref="U21:W21"/>
    <mergeCell ref="X22:Z22"/>
    <mergeCell ref="AA20:AC20"/>
    <mergeCell ref="R20:T20"/>
    <mergeCell ref="R22:T22"/>
    <mergeCell ref="Y28:Y29"/>
    <mergeCell ref="Z28:Z29"/>
    <mergeCell ref="U22:W22"/>
    <mergeCell ref="R18:T19"/>
    <mergeCell ref="R21:T21"/>
    <mergeCell ref="AD6:AF6"/>
    <mergeCell ref="AA10:AC10"/>
    <mergeCell ref="AA6:AC6"/>
    <mergeCell ref="U12:W12"/>
    <mergeCell ref="R10:T10"/>
    <mergeCell ref="X11:Z11"/>
    <mergeCell ref="R11:T11"/>
    <mergeCell ref="AD10:AF10"/>
    <mergeCell ref="AD11:AF11"/>
    <mergeCell ref="AA11:AC11"/>
    <mergeCell ref="AD12:AF12"/>
    <mergeCell ref="X12:Z12"/>
    <mergeCell ref="AD7:AF7"/>
    <mergeCell ref="AD8:AF8"/>
    <mergeCell ref="AD9:AF9"/>
    <mergeCell ref="AA7:AC7"/>
    <mergeCell ref="AA8:AC8"/>
    <mergeCell ref="AA9:AC9"/>
    <mergeCell ref="A4:A5"/>
    <mergeCell ref="U10:W10"/>
    <mergeCell ref="U5:W5"/>
    <mergeCell ref="X5:Z5"/>
    <mergeCell ref="R6:T6"/>
    <mergeCell ref="U6:W6"/>
    <mergeCell ref="G4:Q5"/>
    <mergeCell ref="G6:Q6"/>
    <mergeCell ref="B4:C5"/>
    <mergeCell ref="D4:F5"/>
    <mergeCell ref="G10:Q10"/>
    <mergeCell ref="X6:Z6"/>
    <mergeCell ref="D6:F6"/>
    <mergeCell ref="D10:F10"/>
    <mergeCell ref="B6:C6"/>
    <mergeCell ref="B10:C10"/>
    <mergeCell ref="R7:T7"/>
    <mergeCell ref="R9:T9"/>
    <mergeCell ref="R8:T8"/>
    <mergeCell ref="U7:W7"/>
    <mergeCell ref="U8:W8"/>
    <mergeCell ref="U9:W9"/>
    <mergeCell ref="X7:Z7"/>
    <mergeCell ref="D8:F8"/>
    <mergeCell ref="AD4:AF5"/>
    <mergeCell ref="AA4:AC5"/>
    <mergeCell ref="R4:Z4"/>
    <mergeCell ref="R5:T5"/>
    <mergeCell ref="G11:Q11"/>
    <mergeCell ref="U11:W11"/>
    <mergeCell ref="X10:Z10"/>
    <mergeCell ref="AA28:AA29"/>
    <mergeCell ref="AB28:AB29"/>
    <mergeCell ref="AC27:AF27"/>
    <mergeCell ref="U27:X27"/>
    <mergeCell ref="AA12:AC12"/>
    <mergeCell ref="Z26:AB26"/>
    <mergeCell ref="X18:Z19"/>
    <mergeCell ref="AA22:AC22"/>
    <mergeCell ref="AA21:AC21"/>
    <mergeCell ref="X21:Z21"/>
    <mergeCell ref="X20:Z20"/>
    <mergeCell ref="U20:W20"/>
    <mergeCell ref="U18:W19"/>
    <mergeCell ref="AD20:AF20"/>
    <mergeCell ref="A12:Q12"/>
    <mergeCell ref="B17:C19"/>
    <mergeCell ref="B20:C20"/>
    <mergeCell ref="AD17:AF19"/>
    <mergeCell ref="X9:Z9"/>
    <mergeCell ref="AD21:AF21"/>
    <mergeCell ref="X8:Z8"/>
    <mergeCell ref="B74:G74"/>
    <mergeCell ref="W74:AA74"/>
    <mergeCell ref="M73:Q73"/>
    <mergeCell ref="M74:Q74"/>
    <mergeCell ref="V67:Z67"/>
    <mergeCell ref="R68:S68"/>
    <mergeCell ref="H68:I68"/>
    <mergeCell ref="L68:M68"/>
    <mergeCell ref="N68:O68"/>
    <mergeCell ref="B73:G73"/>
    <mergeCell ref="W73:AA73"/>
    <mergeCell ref="T68:U68"/>
    <mergeCell ref="V68:Z68"/>
    <mergeCell ref="J68:K68"/>
    <mergeCell ref="P68:Q68"/>
    <mergeCell ref="F68:G68"/>
    <mergeCell ref="D67:E67"/>
    <mergeCell ref="L67:M67"/>
    <mergeCell ref="B52:L52"/>
    <mergeCell ref="B53:L53"/>
    <mergeCell ref="P67:Q67"/>
    <mergeCell ref="N67:O67"/>
    <mergeCell ref="O28:O29"/>
    <mergeCell ref="B63:C65"/>
    <mergeCell ref="L63:U63"/>
    <mergeCell ref="B50:L50"/>
    <mergeCell ref="B51:L51"/>
    <mergeCell ref="L64:M65"/>
    <mergeCell ref="H63:I65"/>
    <mergeCell ref="H66:I66"/>
    <mergeCell ref="N64:O65"/>
    <mergeCell ref="F63:G65"/>
    <mergeCell ref="B35:L35"/>
    <mergeCell ref="N66:O66"/>
    <mergeCell ref="P66:Q66"/>
    <mergeCell ref="Q28:Q29"/>
    <mergeCell ref="S28:S29"/>
    <mergeCell ref="U28:U29"/>
    <mergeCell ref="B32:L32"/>
    <mergeCell ref="R66:S66"/>
    <mergeCell ref="T66:U66"/>
    <mergeCell ref="B30:L30"/>
    <mergeCell ref="B34:L34"/>
    <mergeCell ref="B43:L43"/>
  </mergeCells>
  <phoneticPr fontId="3" type="noConversion"/>
  <pageMargins left="0.59055118110236215" right="0.59055118110236215" top="0.98425196850393704" bottom="0.59055118110236215" header="0.31496062992125984" footer="0.19685039370078741"/>
  <pageSetup paperSize="9" scale="33" fitToHeight="0" orientation="landscape" verticalDpi="1200" r:id="rId1"/>
  <headerFooter alignWithMargins="0"/>
  <ignoredErrors>
    <ignoredError sqref="V22:Z22 AE58:AF58 V12:W12 R22 F68:K68 Y12:Z12" formulaRange="1"/>
    <ignoredError sqref="AA58:AB58 O58 P58 S58:T58 W58:Y58" evalError="1" formulaRange="1"/>
    <ignoredError sqref="AC58:AD58 V58 Z58 AE10:AF10 AD21:AF21 AE12:AF12 AD22:AF22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H18"/>
  <sheetViews>
    <sheetView zoomScale="75" zoomScaleNormal="75" zoomScaleSheetLayoutView="75" workbookViewId="0">
      <selection activeCell="Q8" sqref="Q8"/>
    </sheetView>
  </sheetViews>
  <sheetFormatPr defaultColWidth="8.88671875" defaultRowHeight="13.2"/>
  <cols>
    <col min="1" max="1" width="39.44140625" style="47" customWidth="1"/>
    <col min="2" max="2" width="12.88671875" style="47" customWidth="1"/>
    <col min="3" max="3" width="19.6640625" style="47" customWidth="1"/>
    <col min="4" max="4" width="19" style="47" customWidth="1"/>
    <col min="5" max="6" width="18.109375" style="47" customWidth="1"/>
    <col min="7" max="7" width="18.33203125" style="47" customWidth="1"/>
    <col min="8" max="8" width="18.6640625" style="47" customWidth="1"/>
    <col min="9" max="16384" width="8.88671875" style="47"/>
  </cols>
  <sheetData>
    <row r="2" spans="1:8" ht="31.5" customHeight="1">
      <c r="G2" s="721" t="s">
        <v>349</v>
      </c>
      <c r="H2" s="721"/>
    </row>
    <row r="3" spans="1:8" ht="32.25" customHeight="1">
      <c r="A3" s="452" t="s">
        <v>391</v>
      </c>
      <c r="B3" s="452"/>
      <c r="C3" s="452"/>
      <c r="D3" s="452"/>
      <c r="E3" s="452"/>
      <c r="F3" s="452"/>
      <c r="G3" s="452"/>
      <c r="H3" s="452"/>
    </row>
    <row r="4" spans="1:8" ht="28.5" customHeight="1">
      <c r="A4" s="722" t="s">
        <v>366</v>
      </c>
      <c r="B4" s="722"/>
      <c r="C4" s="722"/>
      <c r="D4" s="722"/>
      <c r="E4" s="722"/>
      <c r="F4" s="722"/>
      <c r="G4" s="722"/>
      <c r="H4" s="722"/>
    </row>
    <row r="5" spans="1:8" ht="45.75" customHeight="1">
      <c r="A5" s="723" t="s">
        <v>153</v>
      </c>
      <c r="B5" s="581" t="s">
        <v>18</v>
      </c>
      <c r="C5" s="581" t="s">
        <v>392</v>
      </c>
      <c r="D5" s="581"/>
      <c r="E5" s="478" t="s">
        <v>427</v>
      </c>
      <c r="F5" s="478"/>
      <c r="G5" s="478"/>
      <c r="H5" s="478"/>
    </row>
    <row r="6" spans="1:8" ht="65.25" customHeight="1">
      <c r="A6" s="724"/>
      <c r="B6" s="581"/>
      <c r="C6" s="346" t="s">
        <v>428</v>
      </c>
      <c r="D6" s="346" t="s">
        <v>429</v>
      </c>
      <c r="E6" s="346" t="s">
        <v>144</v>
      </c>
      <c r="F6" s="346" t="s">
        <v>140</v>
      </c>
      <c r="G6" s="163" t="s">
        <v>150</v>
      </c>
      <c r="H6" s="163" t="s">
        <v>151</v>
      </c>
    </row>
    <row r="7" spans="1:8" ht="30" customHeight="1">
      <c r="A7" s="48">
        <v>1</v>
      </c>
      <c r="B7" s="346">
        <v>2</v>
      </c>
      <c r="C7" s="48">
        <v>3</v>
      </c>
      <c r="D7" s="346">
        <v>4</v>
      </c>
      <c r="E7" s="48">
        <v>5</v>
      </c>
      <c r="F7" s="346">
        <v>6</v>
      </c>
      <c r="G7" s="48">
        <v>7</v>
      </c>
      <c r="H7" s="346">
        <v>8</v>
      </c>
    </row>
    <row r="8" spans="1:8" ht="28.5" customHeight="1">
      <c r="A8" s="712" t="s">
        <v>332</v>
      </c>
      <c r="B8" s="713"/>
      <c r="C8" s="713"/>
      <c r="D8" s="713"/>
      <c r="E8" s="713"/>
      <c r="F8" s="713"/>
      <c r="G8" s="713"/>
      <c r="H8" s="714"/>
    </row>
    <row r="9" spans="1:8" ht="59.25" customHeight="1">
      <c r="A9" s="336" t="s">
        <v>333</v>
      </c>
      <c r="B9" s="216">
        <v>6000</v>
      </c>
      <c r="C9" s="384">
        <f>SUM(C11:C12)</f>
        <v>17883.599999999999</v>
      </c>
      <c r="D9" s="10">
        <f>D11+D12</f>
        <v>74493.8</v>
      </c>
      <c r="E9" s="10">
        <f>E11+E12</f>
        <v>74493.8</v>
      </c>
      <c r="F9" s="10">
        <f>D9</f>
        <v>74493.8</v>
      </c>
      <c r="G9" s="120">
        <f>F9-E9</f>
        <v>0</v>
      </c>
      <c r="H9" s="310">
        <f>(F9/E9)*100</f>
        <v>100</v>
      </c>
    </row>
    <row r="10" spans="1:8" ht="39.75" customHeight="1">
      <c r="A10" s="715" t="s">
        <v>334</v>
      </c>
      <c r="B10" s="713"/>
      <c r="C10" s="713"/>
      <c r="D10" s="713"/>
      <c r="E10" s="713"/>
      <c r="F10" s="713"/>
      <c r="G10" s="713"/>
      <c r="H10" s="714"/>
    </row>
    <row r="11" spans="1:8" ht="81" customHeight="1">
      <c r="A11" s="49" t="s">
        <v>418</v>
      </c>
      <c r="B11" s="122">
        <v>6010</v>
      </c>
      <c r="C11" s="385">
        <f>'Розшифровка до Статутного'!C7</f>
        <v>17883.599999999999</v>
      </c>
      <c r="D11" s="8">
        <f>'Розшифровка до Статутного'!E7</f>
        <v>74493.8</v>
      </c>
      <c r="E11" s="8">
        <f>'Розшифровка до Статутного'!D7</f>
        <v>74493.8</v>
      </c>
      <c r="F11" s="8">
        <f>'Розшифровка до Статутного'!E7</f>
        <v>74493.8</v>
      </c>
      <c r="G11" s="120">
        <f>F11-E11</f>
        <v>0</v>
      </c>
      <c r="H11" s="310">
        <f>(F11/E11)*100</f>
        <v>100</v>
      </c>
    </row>
    <row r="12" spans="1:8" ht="63.75" customHeight="1">
      <c r="A12" s="49" t="s">
        <v>335</v>
      </c>
      <c r="B12" s="123">
        <v>6020</v>
      </c>
      <c r="C12" s="92">
        <f>'Розшифровка до Статутного'!C29</f>
        <v>0</v>
      </c>
      <c r="D12" s="92">
        <f>'Розшифровка до Статутного'!E29</f>
        <v>0</v>
      </c>
      <c r="E12" s="92">
        <f>'Розшифровка до Статутного'!D29</f>
        <v>0</v>
      </c>
      <c r="F12" s="92">
        <f>'Розшифровка до Статутного'!F29</f>
        <v>0</v>
      </c>
      <c r="G12" s="120">
        <f>F12-E12</f>
        <v>0</v>
      </c>
      <c r="H12" s="310"/>
    </row>
    <row r="13" spans="1:8" ht="35.25" customHeight="1">
      <c r="A13" s="79"/>
      <c r="B13" s="89"/>
      <c r="C13" s="90"/>
      <c r="D13" s="90"/>
      <c r="E13" s="90"/>
      <c r="F13" s="90"/>
      <c r="G13" s="90"/>
      <c r="H13" s="91"/>
    </row>
    <row r="14" spans="1:8" s="386" customFormat="1" ht="26.25" customHeight="1">
      <c r="A14" s="719" t="s">
        <v>554</v>
      </c>
      <c r="B14" s="719"/>
      <c r="C14" s="720" t="s">
        <v>419</v>
      </c>
      <c r="D14" s="720"/>
      <c r="E14" s="720"/>
      <c r="F14" s="717" t="s">
        <v>555</v>
      </c>
      <c r="G14" s="717"/>
    </row>
    <row r="15" spans="1:8" s="387" customFormat="1" ht="15.6" hidden="1">
      <c r="A15" s="356" t="s">
        <v>64</v>
      </c>
      <c r="B15" s="195"/>
      <c r="C15" s="716" t="s">
        <v>65</v>
      </c>
      <c r="D15" s="716"/>
      <c r="E15" s="195"/>
      <c r="F15" s="718" t="s">
        <v>172</v>
      </c>
      <c r="G15" s="718"/>
      <c r="H15" s="196"/>
    </row>
    <row r="18" ht="3" customHeight="1"/>
  </sheetData>
  <mergeCells count="14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4:G14"/>
    <mergeCell ref="F15:G15"/>
    <mergeCell ref="A14:B14"/>
    <mergeCell ref="C14:E14"/>
  </mergeCells>
  <pageMargins left="0.59055118110236215" right="0.59055118110236215" top="0.98425196850393704" bottom="0.59055118110236215" header="0.31496062992125984" footer="0.19685039370078741"/>
  <pageSetup paperSize="9" scale="83" fitToHeight="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I237"/>
  <sheetViews>
    <sheetView view="pageBreakPreview" topLeftCell="A23" zoomScale="80" zoomScaleNormal="80" zoomScaleSheetLayoutView="80" workbookViewId="0">
      <selection activeCell="A31" sqref="A31:B31"/>
    </sheetView>
  </sheetViews>
  <sheetFormatPr defaultColWidth="9.109375" defaultRowHeight="18"/>
  <cols>
    <col min="1" max="1" width="62.44140625" style="170" customWidth="1"/>
    <col min="2" max="2" width="12.5546875" style="171" customWidth="1"/>
    <col min="3" max="3" width="14.88671875" style="171" customWidth="1"/>
    <col min="4" max="4" width="16.109375" style="171" customWidth="1"/>
    <col min="5" max="5" width="16.6640625" style="171" customWidth="1"/>
    <col min="6" max="6" width="15" style="171" customWidth="1"/>
    <col min="7" max="7" width="15.5546875" style="171" customWidth="1"/>
    <col min="8" max="16384" width="9.109375" style="170"/>
  </cols>
  <sheetData>
    <row r="2" spans="1:9" ht="33.75" customHeight="1">
      <c r="A2" s="463" t="s">
        <v>407</v>
      </c>
      <c r="B2" s="463"/>
      <c r="C2" s="463"/>
      <c r="D2" s="463"/>
      <c r="E2" s="463"/>
      <c r="F2" s="463"/>
      <c r="G2" s="463"/>
    </row>
    <row r="3" spans="1:9" ht="28.5" customHeight="1">
      <c r="A3" s="327"/>
      <c r="B3" s="156"/>
      <c r="C3" s="156"/>
      <c r="D3" s="327"/>
      <c r="E3" s="327"/>
      <c r="F3" s="327"/>
      <c r="G3" s="388" t="s">
        <v>366</v>
      </c>
    </row>
    <row r="4" spans="1:9" ht="60" customHeight="1">
      <c r="A4" s="389" t="s">
        <v>153</v>
      </c>
      <c r="B4" s="390" t="s">
        <v>18</v>
      </c>
      <c r="C4" s="163" t="s">
        <v>432</v>
      </c>
      <c r="D4" s="390" t="s">
        <v>433</v>
      </c>
      <c r="E4" s="390" t="s">
        <v>434</v>
      </c>
      <c r="F4" s="390" t="s">
        <v>420</v>
      </c>
      <c r="G4" s="391" t="s">
        <v>393</v>
      </c>
    </row>
    <row r="5" spans="1:9" ht="23.25" customHeight="1">
      <c r="A5" s="157">
        <v>1</v>
      </c>
      <c r="B5" s="158">
        <v>2</v>
      </c>
      <c r="C5" s="346">
        <v>3</v>
      </c>
      <c r="D5" s="158">
        <v>4</v>
      </c>
      <c r="E5" s="158">
        <v>5</v>
      </c>
      <c r="F5" s="158">
        <v>6</v>
      </c>
      <c r="G5" s="158">
        <v>7</v>
      </c>
    </row>
    <row r="6" spans="1:9" ht="44.25" customHeight="1">
      <c r="A6" s="336" t="s">
        <v>399</v>
      </c>
      <c r="B6" s="338">
        <v>6000</v>
      </c>
      <c r="C6" s="392">
        <f>C7+C29</f>
        <v>17883.599999999999</v>
      </c>
      <c r="D6" s="393">
        <f>D7+D29</f>
        <v>74493.8</v>
      </c>
      <c r="E6" s="393">
        <f>E7+E29</f>
        <v>74493.8</v>
      </c>
      <c r="F6" s="145">
        <f>E6-D6</f>
        <v>0</v>
      </c>
      <c r="G6" s="145">
        <f>(E6/D6)*100</f>
        <v>100</v>
      </c>
      <c r="H6" s="226"/>
    </row>
    <row r="7" spans="1:9" ht="27.75" customHeight="1">
      <c r="A7" s="336" t="s">
        <v>400</v>
      </c>
      <c r="B7" s="338">
        <v>6010</v>
      </c>
      <c r="C7" s="392">
        <f>SUM(C8:C28)</f>
        <v>17883.599999999999</v>
      </c>
      <c r="D7" s="393">
        <f>SUM(D8:D28)</f>
        <v>74493.8</v>
      </c>
      <c r="E7" s="393">
        <f>SUM(E8:E28)</f>
        <v>74493.8</v>
      </c>
      <c r="F7" s="145">
        <f t="shared" ref="F7" si="0">E7-D7</f>
        <v>0</v>
      </c>
      <c r="G7" s="145">
        <f t="shared" ref="G7" si="1">(E7/D7)*100</f>
        <v>100</v>
      </c>
      <c r="H7" s="226"/>
    </row>
    <row r="8" spans="1:9" ht="30.6" hidden="1" customHeight="1">
      <c r="A8" s="277" t="s">
        <v>651</v>
      </c>
      <c r="B8" s="346"/>
      <c r="C8" s="234"/>
      <c r="D8" s="394"/>
      <c r="E8" s="394"/>
      <c r="F8" s="145">
        <f>E8-D8</f>
        <v>0</v>
      </c>
      <c r="G8" s="145" t="e">
        <f>(E8/D8)*100</f>
        <v>#DIV/0!</v>
      </c>
    </row>
    <row r="9" spans="1:9" s="28" customFormat="1">
      <c r="A9" s="278" t="s">
        <v>652</v>
      </c>
      <c r="B9" s="346"/>
      <c r="C9" s="234">
        <v>11050.5</v>
      </c>
      <c r="D9" s="394"/>
      <c r="E9" s="394"/>
      <c r="F9" s="145">
        <f>E9-D9</f>
        <v>0</v>
      </c>
      <c r="G9" s="145"/>
      <c r="H9" s="170"/>
      <c r="I9" s="170"/>
    </row>
    <row r="10" spans="1:9" ht="31.2">
      <c r="A10" s="275" t="s">
        <v>636</v>
      </c>
      <c r="B10" s="346"/>
      <c r="C10" s="395"/>
      <c r="D10" s="396">
        <v>26123.4</v>
      </c>
      <c r="E10" s="414">
        <f>26000+123.4</f>
        <v>26123.4</v>
      </c>
      <c r="F10" s="145">
        <f>E10-D10</f>
        <v>0</v>
      </c>
      <c r="G10" s="145">
        <f>(E10/D10)*100</f>
        <v>100</v>
      </c>
      <c r="H10" s="226"/>
    </row>
    <row r="11" spans="1:9" ht="46.8" hidden="1">
      <c r="A11" s="276" t="s">
        <v>650</v>
      </c>
      <c r="B11" s="346"/>
      <c r="C11" s="397"/>
      <c r="D11" s="398"/>
      <c r="E11" s="398"/>
      <c r="F11" s="145">
        <f>E11-D11</f>
        <v>0</v>
      </c>
      <c r="G11" s="145" t="e">
        <f>(E11/D11)*100</f>
        <v>#DIV/0!</v>
      </c>
      <c r="H11" s="226"/>
      <c r="I11" s="399"/>
    </row>
    <row r="12" spans="1:9" ht="46.8">
      <c r="A12" s="276" t="s">
        <v>789</v>
      </c>
      <c r="B12" s="346"/>
      <c r="C12" s="395">
        <v>3600</v>
      </c>
      <c r="D12" s="396"/>
      <c r="E12" s="396"/>
      <c r="F12" s="145"/>
      <c r="G12" s="145"/>
      <c r="H12" s="226"/>
    </row>
    <row r="13" spans="1:9" ht="31.2" hidden="1">
      <c r="A13" s="279" t="s">
        <v>662</v>
      </c>
      <c r="B13" s="346"/>
      <c r="C13" s="234"/>
      <c r="D13" s="394"/>
      <c r="E13" s="394"/>
      <c r="F13" s="145">
        <f t="shared" ref="F13:F19" si="2">E13-D13</f>
        <v>0</v>
      </c>
      <c r="G13" s="145" t="e">
        <f t="shared" ref="G13:G20" si="3">(E13/D13)*100</f>
        <v>#DIV/0!</v>
      </c>
    </row>
    <row r="14" spans="1:9" ht="31.2" hidden="1">
      <c r="A14" s="273" t="s">
        <v>655</v>
      </c>
      <c r="B14" s="346"/>
      <c r="C14" s="234"/>
      <c r="D14" s="394"/>
      <c r="E14" s="394"/>
      <c r="F14" s="145">
        <f t="shared" si="2"/>
        <v>0</v>
      </c>
      <c r="G14" s="145" t="e">
        <f t="shared" si="3"/>
        <v>#DIV/0!</v>
      </c>
    </row>
    <row r="15" spans="1:9" s="400" customFormat="1" ht="28.95" hidden="1" customHeight="1">
      <c r="A15" s="273" t="s">
        <v>654</v>
      </c>
      <c r="B15" s="346"/>
      <c r="C15" s="234"/>
      <c r="D15" s="394"/>
      <c r="E15" s="394"/>
      <c r="F15" s="145">
        <f t="shared" si="2"/>
        <v>0</v>
      </c>
      <c r="G15" s="145" t="e">
        <f t="shared" si="3"/>
        <v>#DIV/0!</v>
      </c>
      <c r="H15" s="170"/>
      <c r="I15" s="170"/>
    </row>
    <row r="16" spans="1:9" s="399" customFormat="1" hidden="1">
      <c r="A16" s="273" t="s">
        <v>653</v>
      </c>
      <c r="B16" s="346"/>
      <c r="C16" s="234"/>
      <c r="D16" s="394"/>
      <c r="E16" s="394"/>
      <c r="F16" s="145">
        <f t="shared" si="2"/>
        <v>0</v>
      </c>
      <c r="G16" s="145" t="e">
        <f t="shared" si="3"/>
        <v>#DIV/0!</v>
      </c>
      <c r="H16" s="170"/>
      <c r="I16" s="170"/>
    </row>
    <row r="17" spans="1:9" hidden="1">
      <c r="A17" s="273" t="s">
        <v>657</v>
      </c>
      <c r="B17" s="346"/>
      <c r="C17" s="234"/>
      <c r="D17" s="394"/>
      <c r="E17" s="394"/>
      <c r="F17" s="145">
        <f t="shared" si="2"/>
        <v>0</v>
      </c>
      <c r="G17" s="145" t="e">
        <f t="shared" si="3"/>
        <v>#DIV/0!</v>
      </c>
    </row>
    <row r="18" spans="1:9" ht="31.2" hidden="1">
      <c r="A18" s="273" t="s">
        <v>656</v>
      </c>
      <c r="B18" s="346"/>
      <c r="C18" s="234"/>
      <c r="D18" s="394"/>
      <c r="E18" s="394"/>
      <c r="F18" s="145">
        <f t="shared" si="2"/>
        <v>0</v>
      </c>
      <c r="G18" s="145" t="e">
        <f t="shared" si="3"/>
        <v>#DIV/0!</v>
      </c>
    </row>
    <row r="19" spans="1:9" hidden="1">
      <c r="A19" s="273" t="s">
        <v>658</v>
      </c>
      <c r="B19" s="346"/>
      <c r="C19" s="234"/>
      <c r="D19" s="394"/>
      <c r="E19" s="394"/>
      <c r="F19" s="145">
        <f t="shared" si="2"/>
        <v>0</v>
      </c>
      <c r="G19" s="145" t="e">
        <f t="shared" si="3"/>
        <v>#DIV/0!</v>
      </c>
    </row>
    <row r="20" spans="1:9" ht="31.2">
      <c r="A20" s="276" t="s">
        <v>647</v>
      </c>
      <c r="B20" s="346"/>
      <c r="C20" s="395"/>
      <c r="D20" s="396">
        <v>44876.6</v>
      </c>
      <c r="E20" s="414">
        <v>44876.6</v>
      </c>
      <c r="F20" s="145">
        <f>E20-D20</f>
        <v>0</v>
      </c>
      <c r="G20" s="145">
        <f t="shared" si="3"/>
        <v>100</v>
      </c>
      <c r="H20" s="226"/>
    </row>
    <row r="21" spans="1:9" ht="31.2">
      <c r="A21" s="276" t="s">
        <v>649</v>
      </c>
      <c r="B21" s="346"/>
      <c r="C21" s="401"/>
      <c r="D21" s="396">
        <v>1250</v>
      </c>
      <c r="E21" s="396">
        <v>1250</v>
      </c>
      <c r="F21" s="145">
        <f>E21-D21</f>
        <v>0</v>
      </c>
      <c r="G21" s="145">
        <f t="shared" ref="G21:G22" si="4">(E21/D21)*100</f>
        <v>100</v>
      </c>
      <c r="H21" s="228"/>
      <c r="I21" s="400"/>
    </row>
    <row r="22" spans="1:9" ht="48" customHeight="1">
      <c r="A22" s="276" t="s">
        <v>648</v>
      </c>
      <c r="B22" s="346"/>
      <c r="C22" s="395"/>
      <c r="D22" s="396">
        <v>2243.8000000000002</v>
      </c>
      <c r="E22" s="396">
        <v>2243.8000000000002</v>
      </c>
      <c r="F22" s="145">
        <f t="shared" ref="F22:F28" si="5">E22-D22</f>
        <v>0</v>
      </c>
      <c r="G22" s="145">
        <f t="shared" si="4"/>
        <v>100</v>
      </c>
      <c r="H22" s="226"/>
    </row>
    <row r="23" spans="1:9">
      <c r="A23" s="273" t="s">
        <v>645</v>
      </c>
      <c r="B23" s="346"/>
      <c r="C23" s="395">
        <v>3233.1</v>
      </c>
      <c r="D23" s="396"/>
      <c r="E23" s="396"/>
      <c r="F23" s="145">
        <f t="shared" si="5"/>
        <v>0</v>
      </c>
      <c r="G23" s="145"/>
      <c r="H23" s="226"/>
    </row>
    <row r="24" spans="1:9" hidden="1">
      <c r="A24" s="279" t="s">
        <v>660</v>
      </c>
      <c r="B24" s="346"/>
      <c r="C24" s="234"/>
      <c r="D24" s="394"/>
      <c r="E24" s="394"/>
      <c r="F24" s="145">
        <f t="shared" si="5"/>
        <v>0</v>
      </c>
      <c r="G24" s="145"/>
    </row>
    <row r="25" spans="1:9" ht="31.2" hidden="1">
      <c r="A25" s="279" t="s">
        <v>659</v>
      </c>
      <c r="B25" s="346"/>
      <c r="C25" s="234"/>
      <c r="D25" s="394"/>
      <c r="E25" s="394"/>
      <c r="F25" s="145">
        <f t="shared" si="5"/>
        <v>0</v>
      </c>
      <c r="G25" s="145"/>
    </row>
    <row r="26" spans="1:9" ht="31.2" hidden="1">
      <c r="A26" s="279" t="s">
        <v>661</v>
      </c>
      <c r="B26" s="346"/>
      <c r="C26" s="234"/>
      <c r="D26" s="394"/>
      <c r="E26" s="394"/>
      <c r="F26" s="145">
        <f t="shared" si="5"/>
        <v>0</v>
      </c>
      <c r="G26" s="145"/>
    </row>
    <row r="27" spans="1:9" ht="31.2" hidden="1">
      <c r="A27" s="273" t="s">
        <v>604</v>
      </c>
      <c r="B27" s="346"/>
      <c r="C27" s="234"/>
      <c r="D27" s="394"/>
      <c r="E27" s="394"/>
      <c r="F27" s="145">
        <f t="shared" si="5"/>
        <v>0</v>
      </c>
      <c r="G27" s="145"/>
    </row>
    <row r="28" spans="1:9" ht="31.2" hidden="1">
      <c r="A28" s="274" t="s">
        <v>646</v>
      </c>
      <c r="B28" s="346"/>
      <c r="C28" s="401"/>
      <c r="D28" s="396"/>
      <c r="E28" s="396"/>
      <c r="F28" s="145">
        <f t="shared" si="5"/>
        <v>0</v>
      </c>
      <c r="G28" s="145"/>
      <c r="H28" s="402"/>
      <c r="I28" s="28"/>
    </row>
    <row r="29" spans="1:9">
      <c r="A29" s="121" t="s">
        <v>665</v>
      </c>
      <c r="B29" s="280">
        <v>6020</v>
      </c>
      <c r="C29" s="373">
        <v>0</v>
      </c>
      <c r="D29" s="373">
        <v>0</v>
      </c>
      <c r="E29" s="373">
        <v>0</v>
      </c>
      <c r="F29" s="145">
        <f t="shared" ref="F29" si="6">E29-D29</f>
        <v>0</v>
      </c>
      <c r="G29" s="145"/>
    </row>
    <row r="30" spans="1:9">
      <c r="A30" s="11"/>
      <c r="D30" s="331"/>
      <c r="E30" s="165"/>
      <c r="F30" s="165"/>
      <c r="G30" s="165"/>
    </row>
    <row r="31" spans="1:9" s="386" customFormat="1" ht="26.25" customHeight="1">
      <c r="A31" s="719" t="s">
        <v>554</v>
      </c>
      <c r="B31" s="719"/>
      <c r="C31" s="720" t="s">
        <v>419</v>
      </c>
      <c r="D31" s="720"/>
      <c r="E31" s="720"/>
      <c r="F31" s="717" t="s">
        <v>555</v>
      </c>
      <c r="G31" s="717"/>
    </row>
    <row r="32" spans="1:9">
      <c r="A32" s="11"/>
      <c r="C32" s="331"/>
      <c r="D32" s="165"/>
      <c r="E32" s="165"/>
      <c r="F32" s="165"/>
      <c r="G32" s="165"/>
      <c r="H32" s="165"/>
    </row>
    <row r="33" spans="1:7">
      <c r="A33" s="11"/>
      <c r="D33" s="331"/>
      <c r="E33" s="165"/>
      <c r="F33" s="165"/>
      <c r="G33" s="165"/>
    </row>
    <row r="34" spans="1:7">
      <c r="A34" s="11"/>
      <c r="D34" s="331"/>
      <c r="E34" s="165"/>
      <c r="F34" s="165"/>
      <c r="G34" s="165"/>
    </row>
    <row r="35" spans="1:7">
      <c r="A35" s="11"/>
      <c r="D35" s="331"/>
      <c r="E35" s="165"/>
      <c r="F35" s="165"/>
      <c r="G35" s="165"/>
    </row>
    <row r="36" spans="1:7">
      <c r="A36" s="11"/>
      <c r="D36" s="331"/>
      <c r="E36" s="165"/>
      <c r="F36" s="165"/>
      <c r="G36" s="165"/>
    </row>
    <row r="37" spans="1:7">
      <c r="A37" s="11"/>
      <c r="D37" s="331"/>
      <c r="E37" s="165"/>
      <c r="F37" s="165"/>
      <c r="G37" s="165"/>
    </row>
    <row r="38" spans="1:7">
      <c r="A38" s="11"/>
      <c r="D38" s="331"/>
      <c r="E38" s="165"/>
      <c r="F38" s="165"/>
      <c r="G38" s="165"/>
    </row>
    <row r="39" spans="1:7">
      <c r="A39" s="11"/>
      <c r="D39" s="331"/>
      <c r="E39" s="165"/>
      <c r="F39" s="165"/>
      <c r="G39" s="165"/>
    </row>
    <row r="40" spans="1:7">
      <c r="A40" s="11"/>
      <c r="D40" s="331"/>
      <c r="E40" s="165"/>
      <c r="F40" s="165"/>
      <c r="G40" s="165"/>
    </row>
    <row r="41" spans="1:7">
      <c r="A41" s="11"/>
      <c r="D41" s="331"/>
      <c r="E41" s="165"/>
      <c r="F41" s="165"/>
      <c r="G41" s="165"/>
    </row>
    <row r="42" spans="1:7">
      <c r="A42" s="11"/>
      <c r="D42" s="331"/>
      <c r="E42" s="165"/>
      <c r="F42" s="165"/>
      <c r="G42" s="165"/>
    </row>
    <row r="43" spans="1:7">
      <c r="A43" s="11"/>
      <c r="D43" s="331"/>
      <c r="E43" s="165"/>
      <c r="F43" s="165"/>
      <c r="G43" s="165"/>
    </row>
    <row r="44" spans="1:7">
      <c r="A44" s="11"/>
      <c r="D44" s="331"/>
      <c r="E44" s="165"/>
      <c r="F44" s="165"/>
      <c r="G44" s="165"/>
    </row>
    <row r="45" spans="1:7">
      <c r="A45" s="11"/>
      <c r="D45" s="331"/>
      <c r="E45" s="165"/>
      <c r="F45" s="165"/>
      <c r="G45" s="165"/>
    </row>
    <row r="46" spans="1:7">
      <c r="A46" s="11"/>
      <c r="D46" s="331"/>
      <c r="E46" s="165"/>
      <c r="F46" s="165"/>
      <c r="G46" s="165"/>
    </row>
    <row r="47" spans="1:7">
      <c r="A47" s="11"/>
      <c r="D47" s="331"/>
      <c r="E47" s="165"/>
      <c r="F47" s="165"/>
      <c r="G47" s="165"/>
    </row>
    <row r="48" spans="1:7">
      <c r="A48" s="11"/>
      <c r="D48" s="331"/>
      <c r="E48" s="165"/>
      <c r="F48" s="165"/>
      <c r="G48" s="165"/>
    </row>
    <row r="49" spans="1:7">
      <c r="A49" s="11"/>
      <c r="D49" s="331"/>
      <c r="E49" s="165"/>
      <c r="F49" s="165"/>
      <c r="G49" s="165"/>
    </row>
    <row r="50" spans="1:7">
      <c r="A50" s="11"/>
      <c r="D50" s="331"/>
      <c r="E50" s="165"/>
      <c r="F50" s="165"/>
      <c r="G50" s="165"/>
    </row>
    <row r="51" spans="1:7">
      <c r="A51" s="11"/>
      <c r="D51" s="331"/>
      <c r="E51" s="165"/>
      <c r="F51" s="165"/>
      <c r="G51" s="165"/>
    </row>
    <row r="52" spans="1:7">
      <c r="A52" s="11"/>
      <c r="D52" s="331"/>
      <c r="E52" s="165"/>
      <c r="F52" s="165"/>
      <c r="G52" s="165"/>
    </row>
    <row r="53" spans="1:7">
      <c r="A53" s="11"/>
      <c r="D53" s="331"/>
      <c r="E53" s="165"/>
      <c r="F53" s="165"/>
      <c r="G53" s="165"/>
    </row>
    <row r="54" spans="1:7">
      <c r="A54" s="11"/>
      <c r="D54" s="331"/>
      <c r="E54" s="165"/>
      <c r="F54" s="165"/>
      <c r="G54" s="165"/>
    </row>
    <row r="55" spans="1:7">
      <c r="A55" s="11"/>
      <c r="D55" s="331"/>
      <c r="E55" s="165"/>
      <c r="F55" s="165"/>
      <c r="G55" s="165"/>
    </row>
    <row r="56" spans="1:7">
      <c r="A56" s="11"/>
      <c r="D56" s="331"/>
      <c r="E56" s="165"/>
      <c r="F56" s="165"/>
      <c r="G56" s="165"/>
    </row>
    <row r="57" spans="1:7">
      <c r="A57" s="11"/>
      <c r="D57" s="331"/>
      <c r="E57" s="165"/>
      <c r="F57" s="165"/>
      <c r="G57" s="165"/>
    </row>
    <row r="58" spans="1:7">
      <c r="A58" s="11"/>
      <c r="D58" s="331"/>
      <c r="E58" s="165"/>
      <c r="F58" s="165"/>
      <c r="G58" s="165"/>
    </row>
    <row r="59" spans="1:7">
      <c r="A59" s="11"/>
      <c r="D59" s="331"/>
      <c r="E59" s="165"/>
      <c r="F59" s="165"/>
      <c r="G59" s="165"/>
    </row>
    <row r="60" spans="1:7">
      <c r="A60" s="11"/>
      <c r="D60" s="331"/>
      <c r="E60" s="165"/>
      <c r="F60" s="165"/>
      <c r="G60" s="165"/>
    </row>
    <row r="61" spans="1:7">
      <c r="A61" s="11"/>
      <c r="D61" s="331"/>
      <c r="E61" s="165"/>
      <c r="F61" s="165"/>
      <c r="G61" s="165"/>
    </row>
    <row r="62" spans="1:7">
      <c r="A62" s="11"/>
      <c r="D62" s="331"/>
      <c r="E62" s="165"/>
      <c r="F62" s="165"/>
      <c r="G62" s="165"/>
    </row>
    <row r="63" spans="1:7">
      <c r="A63" s="11"/>
      <c r="D63" s="331"/>
      <c r="E63" s="165"/>
      <c r="F63" s="165"/>
      <c r="G63" s="165"/>
    </row>
    <row r="64" spans="1:7">
      <c r="A64" s="11"/>
      <c r="D64" s="331"/>
      <c r="E64" s="165"/>
      <c r="F64" s="165"/>
      <c r="G64" s="165"/>
    </row>
    <row r="65" spans="1:7">
      <c r="A65" s="11"/>
      <c r="D65" s="331"/>
      <c r="E65" s="165"/>
      <c r="F65" s="165"/>
      <c r="G65" s="165"/>
    </row>
    <row r="66" spans="1:7">
      <c r="A66" s="11"/>
      <c r="D66" s="331"/>
      <c r="E66" s="165"/>
      <c r="F66" s="165"/>
      <c r="G66" s="165"/>
    </row>
    <row r="67" spans="1:7">
      <c r="A67" s="11"/>
      <c r="D67" s="331"/>
      <c r="E67" s="165"/>
      <c r="F67" s="165"/>
      <c r="G67" s="165"/>
    </row>
    <row r="68" spans="1:7">
      <c r="A68" s="11"/>
      <c r="D68" s="331"/>
      <c r="E68" s="165"/>
      <c r="F68" s="165"/>
      <c r="G68" s="165"/>
    </row>
    <row r="69" spans="1:7">
      <c r="A69" s="11"/>
      <c r="D69" s="331"/>
      <c r="E69" s="165"/>
      <c r="F69" s="165"/>
      <c r="G69" s="165"/>
    </row>
    <row r="70" spans="1:7">
      <c r="A70" s="11"/>
    </row>
    <row r="71" spans="1:7">
      <c r="A71" s="181"/>
    </row>
    <row r="72" spans="1:7">
      <c r="A72" s="181"/>
    </row>
    <row r="73" spans="1:7">
      <c r="A73" s="181"/>
    </row>
    <row r="74" spans="1:7">
      <c r="A74" s="181"/>
    </row>
    <row r="75" spans="1:7">
      <c r="A75" s="181"/>
    </row>
    <row r="76" spans="1:7">
      <c r="A76" s="181"/>
    </row>
    <row r="77" spans="1:7">
      <c r="A77" s="181"/>
    </row>
    <row r="78" spans="1:7">
      <c r="A78" s="181"/>
    </row>
    <row r="79" spans="1:7">
      <c r="A79" s="181"/>
    </row>
    <row r="80" spans="1:7">
      <c r="A80" s="181"/>
    </row>
    <row r="81" spans="1:1">
      <c r="A81" s="181"/>
    </row>
    <row r="82" spans="1:1">
      <c r="A82" s="181"/>
    </row>
    <row r="83" spans="1:1">
      <c r="A83" s="181"/>
    </row>
    <row r="84" spans="1:1">
      <c r="A84" s="181"/>
    </row>
    <row r="85" spans="1:1">
      <c r="A85" s="181"/>
    </row>
    <row r="86" spans="1:1">
      <c r="A86" s="181"/>
    </row>
    <row r="87" spans="1:1">
      <c r="A87" s="181"/>
    </row>
    <row r="88" spans="1:1">
      <c r="A88" s="181"/>
    </row>
    <row r="89" spans="1:1">
      <c r="A89" s="181"/>
    </row>
    <row r="90" spans="1:1">
      <c r="A90" s="181"/>
    </row>
    <row r="91" spans="1:1">
      <c r="A91" s="181"/>
    </row>
    <row r="92" spans="1:1">
      <c r="A92" s="181"/>
    </row>
    <row r="93" spans="1:1">
      <c r="A93" s="181"/>
    </row>
    <row r="94" spans="1:1">
      <c r="A94" s="181"/>
    </row>
    <row r="95" spans="1:1">
      <c r="A95" s="181"/>
    </row>
    <row r="96" spans="1:1">
      <c r="A96" s="181"/>
    </row>
    <row r="97" spans="1:1">
      <c r="A97" s="181"/>
    </row>
    <row r="98" spans="1:1">
      <c r="A98" s="181"/>
    </row>
    <row r="99" spans="1:1">
      <c r="A99" s="181"/>
    </row>
    <row r="100" spans="1:1">
      <c r="A100" s="181"/>
    </row>
    <row r="101" spans="1:1">
      <c r="A101" s="181"/>
    </row>
    <row r="102" spans="1:1">
      <c r="A102" s="181"/>
    </row>
    <row r="103" spans="1:1">
      <c r="A103" s="181"/>
    </row>
    <row r="104" spans="1:1">
      <c r="A104" s="181"/>
    </row>
    <row r="105" spans="1:1">
      <c r="A105" s="181"/>
    </row>
    <row r="106" spans="1:1">
      <c r="A106" s="181"/>
    </row>
    <row r="107" spans="1:1">
      <c r="A107" s="181"/>
    </row>
    <row r="108" spans="1:1">
      <c r="A108" s="181"/>
    </row>
    <row r="109" spans="1:1">
      <c r="A109" s="181"/>
    </row>
    <row r="110" spans="1:1">
      <c r="A110" s="181"/>
    </row>
    <row r="111" spans="1:1">
      <c r="A111" s="181"/>
    </row>
    <row r="112" spans="1:1">
      <c r="A112" s="181"/>
    </row>
    <row r="113" spans="1:1">
      <c r="A113" s="181"/>
    </row>
    <row r="114" spans="1:1">
      <c r="A114" s="181"/>
    </row>
    <row r="115" spans="1:1">
      <c r="A115" s="181"/>
    </row>
    <row r="116" spans="1:1">
      <c r="A116" s="181"/>
    </row>
    <row r="117" spans="1:1">
      <c r="A117" s="181"/>
    </row>
    <row r="118" spans="1:1">
      <c r="A118" s="181"/>
    </row>
    <row r="119" spans="1:1">
      <c r="A119" s="181"/>
    </row>
    <row r="120" spans="1:1">
      <c r="A120" s="181"/>
    </row>
    <row r="121" spans="1:1">
      <c r="A121" s="181"/>
    </row>
    <row r="122" spans="1:1">
      <c r="A122" s="181"/>
    </row>
    <row r="123" spans="1:1">
      <c r="A123" s="181"/>
    </row>
    <row r="124" spans="1:1">
      <c r="A124" s="181"/>
    </row>
    <row r="125" spans="1:1">
      <c r="A125" s="181"/>
    </row>
    <row r="126" spans="1:1">
      <c r="A126" s="181"/>
    </row>
    <row r="127" spans="1:1">
      <c r="A127" s="181"/>
    </row>
    <row r="128" spans="1:1">
      <c r="A128" s="181"/>
    </row>
    <row r="129" spans="1:1">
      <c r="A129" s="181"/>
    </row>
    <row r="130" spans="1:1">
      <c r="A130" s="181"/>
    </row>
    <row r="131" spans="1:1">
      <c r="A131" s="181"/>
    </row>
    <row r="132" spans="1:1">
      <c r="A132" s="181"/>
    </row>
    <row r="133" spans="1:1">
      <c r="A133" s="181"/>
    </row>
    <row r="134" spans="1:1">
      <c r="A134" s="181"/>
    </row>
    <row r="135" spans="1:1">
      <c r="A135" s="181"/>
    </row>
    <row r="136" spans="1:1">
      <c r="A136" s="181"/>
    </row>
    <row r="137" spans="1:1">
      <c r="A137" s="181"/>
    </row>
    <row r="138" spans="1:1">
      <c r="A138" s="181"/>
    </row>
    <row r="139" spans="1:1">
      <c r="A139" s="181"/>
    </row>
    <row r="140" spans="1:1">
      <c r="A140" s="181"/>
    </row>
    <row r="141" spans="1:1">
      <c r="A141" s="181"/>
    </row>
    <row r="142" spans="1:1">
      <c r="A142" s="181"/>
    </row>
    <row r="143" spans="1:1">
      <c r="A143" s="181"/>
    </row>
    <row r="144" spans="1:1">
      <c r="A144" s="181"/>
    </row>
    <row r="145" spans="1:1">
      <c r="A145" s="181"/>
    </row>
    <row r="146" spans="1:1">
      <c r="A146" s="181"/>
    </row>
    <row r="147" spans="1:1">
      <c r="A147" s="181"/>
    </row>
    <row r="148" spans="1:1">
      <c r="A148" s="181"/>
    </row>
    <row r="149" spans="1:1">
      <c r="A149" s="181"/>
    </row>
    <row r="150" spans="1:1">
      <c r="A150" s="181"/>
    </row>
    <row r="151" spans="1:1">
      <c r="A151" s="181"/>
    </row>
    <row r="152" spans="1:1">
      <c r="A152" s="181"/>
    </row>
    <row r="153" spans="1:1">
      <c r="A153" s="181"/>
    </row>
    <row r="154" spans="1:1">
      <c r="A154" s="181"/>
    </row>
    <row r="155" spans="1:1">
      <c r="A155" s="181"/>
    </row>
    <row r="156" spans="1:1">
      <c r="A156" s="181"/>
    </row>
    <row r="157" spans="1:1">
      <c r="A157" s="181"/>
    </row>
    <row r="158" spans="1:1">
      <c r="A158" s="181"/>
    </row>
    <row r="159" spans="1:1">
      <c r="A159" s="181"/>
    </row>
    <row r="160" spans="1:1">
      <c r="A160" s="181"/>
    </row>
    <row r="161" spans="1:1">
      <c r="A161" s="181"/>
    </row>
    <row r="162" spans="1:1">
      <c r="A162" s="181"/>
    </row>
    <row r="163" spans="1:1">
      <c r="A163" s="181"/>
    </row>
    <row r="164" spans="1:1">
      <c r="A164" s="181"/>
    </row>
    <row r="165" spans="1:1">
      <c r="A165" s="181"/>
    </row>
    <row r="166" spans="1:1">
      <c r="A166" s="181"/>
    </row>
    <row r="167" spans="1:1">
      <c r="A167" s="181"/>
    </row>
    <row r="168" spans="1:1">
      <c r="A168" s="181"/>
    </row>
    <row r="169" spans="1:1">
      <c r="A169" s="181"/>
    </row>
    <row r="170" spans="1:1">
      <c r="A170" s="181"/>
    </row>
    <row r="171" spans="1:1">
      <c r="A171" s="181"/>
    </row>
    <row r="172" spans="1:1">
      <c r="A172" s="181"/>
    </row>
    <row r="173" spans="1:1">
      <c r="A173" s="181"/>
    </row>
    <row r="174" spans="1:1">
      <c r="A174" s="181"/>
    </row>
    <row r="175" spans="1:1">
      <c r="A175" s="181"/>
    </row>
    <row r="176" spans="1:1">
      <c r="A176" s="181"/>
    </row>
    <row r="177" spans="1:1">
      <c r="A177" s="181"/>
    </row>
    <row r="178" spans="1:1">
      <c r="A178" s="181"/>
    </row>
    <row r="179" spans="1:1">
      <c r="A179" s="181"/>
    </row>
    <row r="180" spans="1:1">
      <c r="A180" s="181"/>
    </row>
    <row r="181" spans="1:1">
      <c r="A181" s="181"/>
    </row>
    <row r="182" spans="1:1">
      <c r="A182" s="181"/>
    </row>
    <row r="183" spans="1:1">
      <c r="A183" s="181"/>
    </row>
    <row r="184" spans="1:1">
      <c r="A184" s="181"/>
    </row>
    <row r="185" spans="1:1">
      <c r="A185" s="181"/>
    </row>
    <row r="186" spans="1:1">
      <c r="A186" s="181"/>
    </row>
    <row r="187" spans="1:1">
      <c r="A187" s="181"/>
    </row>
    <row r="188" spans="1:1">
      <c r="A188" s="181"/>
    </row>
    <row r="189" spans="1:1">
      <c r="A189" s="181"/>
    </row>
    <row r="190" spans="1:1">
      <c r="A190" s="181"/>
    </row>
    <row r="191" spans="1:1">
      <c r="A191" s="181"/>
    </row>
    <row r="192" spans="1:1">
      <c r="A192" s="181"/>
    </row>
    <row r="193" spans="1:1">
      <c r="A193" s="181"/>
    </row>
    <row r="194" spans="1:1">
      <c r="A194" s="181"/>
    </row>
    <row r="195" spans="1:1">
      <c r="A195" s="181"/>
    </row>
    <row r="196" spans="1:1">
      <c r="A196" s="181"/>
    </row>
    <row r="197" spans="1:1">
      <c r="A197" s="181"/>
    </row>
    <row r="198" spans="1:1">
      <c r="A198" s="181"/>
    </row>
    <row r="199" spans="1:1">
      <c r="A199" s="181"/>
    </row>
    <row r="200" spans="1:1">
      <c r="A200" s="181"/>
    </row>
    <row r="201" spans="1:1">
      <c r="A201" s="181"/>
    </row>
    <row r="202" spans="1:1">
      <c r="A202" s="181"/>
    </row>
    <row r="203" spans="1:1">
      <c r="A203" s="181"/>
    </row>
    <row r="204" spans="1:1">
      <c r="A204" s="181"/>
    </row>
    <row r="205" spans="1:1">
      <c r="A205" s="181"/>
    </row>
    <row r="206" spans="1:1">
      <c r="A206" s="181"/>
    </row>
    <row r="207" spans="1:1">
      <c r="A207" s="181"/>
    </row>
    <row r="208" spans="1:1">
      <c r="A208" s="181"/>
    </row>
    <row r="209" spans="1:1">
      <c r="A209" s="181"/>
    </row>
    <row r="210" spans="1:1">
      <c r="A210" s="181"/>
    </row>
    <row r="211" spans="1:1">
      <c r="A211" s="181"/>
    </row>
    <row r="212" spans="1:1">
      <c r="A212" s="181"/>
    </row>
    <row r="213" spans="1:1">
      <c r="A213" s="181"/>
    </row>
    <row r="214" spans="1:1">
      <c r="A214" s="181"/>
    </row>
    <row r="215" spans="1:1">
      <c r="A215" s="181"/>
    </row>
    <row r="216" spans="1:1">
      <c r="A216" s="181"/>
    </row>
    <row r="217" spans="1:1">
      <c r="A217" s="181"/>
    </row>
    <row r="218" spans="1:1">
      <c r="A218" s="181"/>
    </row>
    <row r="219" spans="1:1">
      <c r="A219" s="181"/>
    </row>
    <row r="220" spans="1:1">
      <c r="A220" s="181"/>
    </row>
    <row r="221" spans="1:1">
      <c r="A221" s="181"/>
    </row>
    <row r="222" spans="1:1">
      <c r="A222" s="181"/>
    </row>
    <row r="223" spans="1:1">
      <c r="A223" s="181"/>
    </row>
    <row r="224" spans="1:1">
      <c r="A224" s="181"/>
    </row>
    <row r="225" spans="1:1">
      <c r="A225" s="181"/>
    </row>
    <row r="226" spans="1:1">
      <c r="A226" s="181"/>
    </row>
    <row r="227" spans="1:1">
      <c r="A227" s="181"/>
    </row>
    <row r="228" spans="1:1">
      <c r="A228" s="181"/>
    </row>
    <row r="229" spans="1:1">
      <c r="A229" s="181"/>
    </row>
    <row r="230" spans="1:1">
      <c r="A230" s="181"/>
    </row>
    <row r="231" spans="1:1">
      <c r="A231" s="181"/>
    </row>
    <row r="232" spans="1:1">
      <c r="A232" s="181"/>
    </row>
    <row r="233" spans="1:1">
      <c r="A233" s="181"/>
    </row>
    <row r="234" spans="1:1">
      <c r="A234" s="181"/>
    </row>
    <row r="235" spans="1:1">
      <c r="A235" s="181"/>
    </row>
    <row r="236" spans="1:1">
      <c r="A236" s="181"/>
    </row>
    <row r="237" spans="1:1">
      <c r="A237" s="181"/>
    </row>
  </sheetData>
  <sortState ref="A8:I29">
    <sortCondition ref="A8"/>
  </sortState>
  <mergeCells count="4">
    <mergeCell ref="A2:G2"/>
    <mergeCell ref="A31:B31"/>
    <mergeCell ref="C31:E31"/>
    <mergeCell ref="F31:G31"/>
  </mergeCells>
  <pageMargins left="0.59055118110236227" right="0.59055118110236227" top="0.98425196850393704" bottom="0.59055118110236227" header="0.31496062992125984" footer="0.19685039370078741"/>
  <pageSetup paperSize="9" scale="89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323"/>
  <sheetViews>
    <sheetView view="pageBreakPreview" topLeftCell="A79" zoomScale="50" zoomScaleNormal="50" zoomScaleSheetLayoutView="50" workbookViewId="0">
      <selection activeCell="E78" sqref="E78"/>
    </sheetView>
  </sheetViews>
  <sheetFormatPr defaultColWidth="9.109375" defaultRowHeight="18"/>
  <cols>
    <col min="1" max="1" width="98.5546875" style="170" customWidth="1"/>
    <col min="2" max="2" width="14.88671875" style="171" customWidth="1"/>
    <col min="3" max="7" width="22.44140625" style="171" customWidth="1"/>
    <col min="8" max="8" width="19.88671875" style="171" customWidth="1"/>
    <col min="9" max="9" width="28.109375" style="171" customWidth="1"/>
    <col min="10" max="16384" width="9.109375" style="170"/>
  </cols>
  <sheetData>
    <row r="1" spans="1:9" ht="29.25" customHeight="1">
      <c r="H1" s="86" t="s">
        <v>342</v>
      </c>
    </row>
    <row r="2" spans="1:9" ht="37.5" customHeight="1">
      <c r="A2" s="459" t="s">
        <v>74</v>
      </c>
      <c r="B2" s="459"/>
      <c r="C2" s="459"/>
      <c r="D2" s="459"/>
      <c r="E2" s="459"/>
      <c r="F2" s="459"/>
      <c r="G2" s="459"/>
      <c r="H2" s="459"/>
      <c r="I2" s="459"/>
    </row>
    <row r="3" spans="1:9" ht="22.5" customHeight="1">
      <c r="A3" s="327"/>
      <c r="B3" s="156"/>
      <c r="C3" s="156"/>
      <c r="D3" s="156"/>
      <c r="E3" s="156"/>
      <c r="F3" s="156"/>
      <c r="G3" s="156"/>
      <c r="H3" s="156" t="s">
        <v>350</v>
      </c>
      <c r="I3" s="156"/>
    </row>
    <row r="4" spans="1:9" ht="55.5" customHeight="1">
      <c r="A4" s="440" t="s">
        <v>153</v>
      </c>
      <c r="B4" s="441" t="s">
        <v>18</v>
      </c>
      <c r="C4" s="441" t="s">
        <v>276</v>
      </c>
      <c r="D4" s="441"/>
      <c r="E4" s="440" t="s">
        <v>427</v>
      </c>
      <c r="F4" s="440"/>
      <c r="G4" s="440"/>
      <c r="H4" s="440"/>
      <c r="I4" s="440"/>
    </row>
    <row r="5" spans="1:9" ht="130.5" customHeight="1">
      <c r="A5" s="440"/>
      <c r="B5" s="441"/>
      <c r="C5" s="323" t="s">
        <v>428</v>
      </c>
      <c r="D5" s="323" t="s">
        <v>429</v>
      </c>
      <c r="E5" s="323" t="s">
        <v>144</v>
      </c>
      <c r="F5" s="323" t="s">
        <v>140</v>
      </c>
      <c r="G5" s="168" t="s">
        <v>150</v>
      </c>
      <c r="H5" s="168" t="s">
        <v>362</v>
      </c>
      <c r="I5" s="323" t="s">
        <v>149</v>
      </c>
    </row>
    <row r="6" spans="1:9" ht="42.75" customHeight="1">
      <c r="A6" s="325">
        <v>1</v>
      </c>
      <c r="B6" s="323">
        <v>2</v>
      </c>
      <c r="C6" s="325">
        <v>3</v>
      </c>
      <c r="D6" s="323">
        <v>4</v>
      </c>
      <c r="E6" s="325">
        <v>5</v>
      </c>
      <c r="F6" s="323">
        <v>6</v>
      </c>
      <c r="G6" s="325">
        <v>7</v>
      </c>
      <c r="H6" s="323">
        <v>8</v>
      </c>
      <c r="I6" s="325">
        <v>9</v>
      </c>
    </row>
    <row r="7" spans="1:9" s="28" customFormat="1" ht="39.75" customHeight="1">
      <c r="A7" s="460" t="s">
        <v>148</v>
      </c>
      <c r="B7" s="460"/>
      <c r="C7" s="460"/>
      <c r="D7" s="460"/>
      <c r="E7" s="460"/>
      <c r="F7" s="460"/>
      <c r="G7" s="460"/>
      <c r="H7" s="460"/>
      <c r="I7" s="460"/>
    </row>
    <row r="8" spans="1:9" s="28" customFormat="1" ht="54" customHeight="1">
      <c r="A8" s="326" t="s">
        <v>123</v>
      </c>
      <c r="B8" s="50">
        <v>1000</v>
      </c>
      <c r="C8" s="51">
        <v>128341</v>
      </c>
      <c r="D8" s="51">
        <v>186753</v>
      </c>
      <c r="E8" s="51">
        <v>269612.5</v>
      </c>
      <c r="F8" s="51">
        <f>D8</f>
        <v>186753</v>
      </c>
      <c r="G8" s="127">
        <f>F8-E8</f>
        <v>-82859.5</v>
      </c>
      <c r="H8" s="130">
        <f>(F8/E8)*100</f>
        <v>69.267189021280544</v>
      </c>
      <c r="I8" s="52"/>
    </row>
    <row r="9" spans="1:9" s="28" customFormat="1" ht="51" customHeight="1">
      <c r="A9" s="326" t="s">
        <v>110</v>
      </c>
      <c r="B9" s="50">
        <v>1010</v>
      </c>
      <c r="C9" s="51">
        <f>SUM(C10:C17)</f>
        <v>-465763</v>
      </c>
      <c r="D9" s="51">
        <f>SUM(D10:D17)</f>
        <v>-562737.99999999988</v>
      </c>
      <c r="E9" s="51">
        <f>ROUNDUP(SUM(E10:E17),0)</f>
        <v>-784882</v>
      </c>
      <c r="F9" s="51">
        <f>SUM(F10:F17)</f>
        <v>-562737.99999999988</v>
      </c>
      <c r="G9" s="127">
        <f t="shared" ref="G9:G19" si="0">F9-E9</f>
        <v>222144.00000000012</v>
      </c>
      <c r="H9" s="130">
        <f t="shared" ref="H9:H20" si="1">(F9/E9)*100</f>
        <v>71.697146832262675</v>
      </c>
      <c r="I9" s="52"/>
    </row>
    <row r="10" spans="1:9" s="28" customFormat="1" ht="45" customHeight="1">
      <c r="A10" s="344" t="s">
        <v>301</v>
      </c>
      <c r="B10" s="53">
        <v>1011</v>
      </c>
      <c r="C10" s="54">
        <v>-53863.6</v>
      </c>
      <c r="D10" s="54">
        <v>-66553.399999999994</v>
      </c>
      <c r="E10" s="54">
        <v>-242927</v>
      </c>
      <c r="F10" s="54">
        <f>D10</f>
        <v>-66553.399999999994</v>
      </c>
      <c r="G10" s="124">
        <f t="shared" si="0"/>
        <v>176373.6</v>
      </c>
      <c r="H10" s="129">
        <f t="shared" si="1"/>
        <v>27.396460665138083</v>
      </c>
      <c r="I10" s="56"/>
    </row>
    <row r="11" spans="1:9" s="28" customFormat="1" ht="36" customHeight="1">
      <c r="A11" s="344" t="s">
        <v>417</v>
      </c>
      <c r="B11" s="53">
        <v>1012</v>
      </c>
      <c r="C11" s="54">
        <v>-2050.4</v>
      </c>
      <c r="D11" s="54">
        <v>-4480.3</v>
      </c>
      <c r="E11" s="54">
        <v>-1939</v>
      </c>
      <c r="F11" s="54">
        <f t="shared" ref="F11:F17" si="2">D11</f>
        <v>-4480.3</v>
      </c>
      <c r="G11" s="124">
        <f t="shared" si="0"/>
        <v>-2541.3000000000002</v>
      </c>
      <c r="H11" s="129">
        <f t="shared" si="1"/>
        <v>231.06240330067047</v>
      </c>
      <c r="I11" s="56"/>
    </row>
    <row r="12" spans="1:9" s="28" customFormat="1" ht="39" customHeight="1">
      <c r="A12" s="344" t="s">
        <v>302</v>
      </c>
      <c r="B12" s="53">
        <v>1013</v>
      </c>
      <c r="C12" s="54">
        <v>-83915.199999999997</v>
      </c>
      <c r="D12" s="54">
        <v>-120138.3</v>
      </c>
      <c r="E12" s="54">
        <v>-93547</v>
      </c>
      <c r="F12" s="54">
        <f t="shared" si="2"/>
        <v>-120138.3</v>
      </c>
      <c r="G12" s="124">
        <f t="shared" si="0"/>
        <v>-26591.300000000003</v>
      </c>
      <c r="H12" s="129">
        <f t="shared" si="1"/>
        <v>128.42560424171808</v>
      </c>
      <c r="I12" s="56"/>
    </row>
    <row r="13" spans="1:9" s="28" customFormat="1" ht="39" customHeight="1">
      <c r="A13" s="344" t="s">
        <v>5</v>
      </c>
      <c r="B13" s="53">
        <v>1014</v>
      </c>
      <c r="C13" s="54">
        <v>-231273.8</v>
      </c>
      <c r="D13" s="54">
        <v>-261284.9</v>
      </c>
      <c r="E13" s="54">
        <v>-294170</v>
      </c>
      <c r="F13" s="54">
        <f t="shared" si="2"/>
        <v>-261284.9</v>
      </c>
      <c r="G13" s="124">
        <f t="shared" si="0"/>
        <v>32885.100000000006</v>
      </c>
      <c r="H13" s="129">
        <f t="shared" si="1"/>
        <v>88.821055852058322</v>
      </c>
      <c r="I13" s="56"/>
    </row>
    <row r="14" spans="1:9" s="28" customFormat="1" ht="37.5" customHeight="1">
      <c r="A14" s="344" t="s">
        <v>6</v>
      </c>
      <c r="B14" s="53">
        <v>1015</v>
      </c>
      <c r="C14" s="54">
        <v>-49868.4</v>
      </c>
      <c r="D14" s="54">
        <v>-61165.599999999999</v>
      </c>
      <c r="E14" s="54">
        <v>-64717</v>
      </c>
      <c r="F14" s="54">
        <f t="shared" si="2"/>
        <v>-61165.599999999999</v>
      </c>
      <c r="G14" s="124">
        <f t="shared" si="0"/>
        <v>3551.4000000000015</v>
      </c>
      <c r="H14" s="129">
        <f t="shared" si="1"/>
        <v>94.512415594047923</v>
      </c>
      <c r="I14" s="56"/>
    </row>
    <row r="15" spans="1:9" s="347" customFormat="1" ht="53.4" customHeight="1">
      <c r="A15" s="344" t="s">
        <v>797</v>
      </c>
      <c r="B15" s="323">
        <v>1016</v>
      </c>
      <c r="C15" s="54">
        <v>-9940.5</v>
      </c>
      <c r="D15" s="54">
        <f>-391.2-8248.9</f>
        <v>-8640.1</v>
      </c>
      <c r="E15" s="54">
        <v>-55319</v>
      </c>
      <c r="F15" s="54">
        <f t="shared" si="2"/>
        <v>-8640.1</v>
      </c>
      <c r="G15" s="124">
        <f t="shared" si="0"/>
        <v>46678.9</v>
      </c>
      <c r="H15" s="129">
        <f t="shared" si="1"/>
        <v>15.618684357996349</v>
      </c>
      <c r="I15" s="167"/>
    </row>
    <row r="16" spans="1:9" s="347" customFormat="1" ht="36.75" customHeight="1">
      <c r="A16" s="344" t="s">
        <v>303</v>
      </c>
      <c r="B16" s="323">
        <v>1017</v>
      </c>
      <c r="C16" s="54">
        <v>-24674.5</v>
      </c>
      <c r="D16" s="54">
        <v>-28291.7</v>
      </c>
      <c r="E16" s="54">
        <v>-24478</v>
      </c>
      <c r="F16" s="54">
        <f t="shared" si="2"/>
        <v>-28291.7</v>
      </c>
      <c r="G16" s="124">
        <f t="shared" si="0"/>
        <v>-3813.7000000000007</v>
      </c>
      <c r="H16" s="129">
        <f t="shared" si="1"/>
        <v>115.58011275430999</v>
      </c>
      <c r="I16" s="167"/>
    </row>
    <row r="17" spans="1:9" s="28" customFormat="1" ht="40.5" customHeight="1">
      <c r="A17" s="344" t="s">
        <v>304</v>
      </c>
      <c r="B17" s="53">
        <v>1018</v>
      </c>
      <c r="C17" s="54">
        <f>-'Розшифровка фінрезультати'!C7</f>
        <v>-10176.599999999999</v>
      </c>
      <c r="D17" s="54">
        <f>-'Розшифровка фінрезультати'!E7</f>
        <v>-12183.7</v>
      </c>
      <c r="E17" s="54">
        <f>-'Розшифровка фінрезультати'!D7</f>
        <v>-7784.3</v>
      </c>
      <c r="F17" s="54">
        <f t="shared" si="2"/>
        <v>-12183.7</v>
      </c>
      <c r="G17" s="124">
        <f t="shared" si="0"/>
        <v>-4399.4000000000005</v>
      </c>
      <c r="H17" s="129">
        <f t="shared" si="1"/>
        <v>156.5163213134129</v>
      </c>
      <c r="I17" s="56"/>
    </row>
    <row r="18" spans="1:9" s="28" customFormat="1" ht="31.5" customHeight="1">
      <c r="A18" s="326" t="s">
        <v>23</v>
      </c>
      <c r="B18" s="50">
        <v>1020</v>
      </c>
      <c r="C18" s="51">
        <f>SUM(C8,C9)</f>
        <v>-337422</v>
      </c>
      <c r="D18" s="51">
        <f>SUM(D8,D9)</f>
        <v>-375984.99999999988</v>
      </c>
      <c r="E18" s="51">
        <f>SUM(E8,E9)</f>
        <v>-515269.5</v>
      </c>
      <c r="F18" s="51">
        <f>SUM(F8,F9)</f>
        <v>-375984.99999999988</v>
      </c>
      <c r="G18" s="127">
        <f t="shared" si="0"/>
        <v>139284.50000000012</v>
      </c>
      <c r="H18" s="130">
        <f t="shared" si="1"/>
        <v>72.96861157122629</v>
      </c>
      <c r="I18" s="52"/>
    </row>
    <row r="19" spans="1:9" s="28" customFormat="1" ht="37.5" customHeight="1">
      <c r="A19" s="326" t="s">
        <v>130</v>
      </c>
      <c r="B19" s="50">
        <v>1030</v>
      </c>
      <c r="C19" s="51">
        <f>SUM(C20:C37,C39)</f>
        <v>-26452</v>
      </c>
      <c r="D19" s="51">
        <f>SUM(D20:D37,D39)</f>
        <v>-32440.999999999996</v>
      </c>
      <c r="E19" s="51">
        <f>ROUNDUP(SUM(E20:E37,E39),0)</f>
        <v>-36084</v>
      </c>
      <c r="F19" s="51">
        <f>SUM(F20:F37,F39)</f>
        <v>-32440.999999999996</v>
      </c>
      <c r="G19" s="127">
        <f t="shared" si="0"/>
        <v>3643.0000000000036</v>
      </c>
      <c r="H19" s="130">
        <f t="shared" si="1"/>
        <v>89.904112626094658</v>
      </c>
      <c r="I19" s="52"/>
    </row>
    <row r="20" spans="1:9" s="28" customFormat="1" ht="43.5" customHeight="1">
      <c r="A20" s="344" t="s">
        <v>81</v>
      </c>
      <c r="B20" s="53">
        <v>1031</v>
      </c>
      <c r="C20" s="54">
        <v>-964.8</v>
      </c>
      <c r="D20" s="54">
        <v>-815.9</v>
      </c>
      <c r="E20" s="54">
        <v>-1586</v>
      </c>
      <c r="F20" s="54">
        <f>D20</f>
        <v>-815.9</v>
      </c>
      <c r="G20" s="124">
        <f>F20-E20</f>
        <v>770.1</v>
      </c>
      <c r="H20" s="129">
        <f t="shared" si="1"/>
        <v>51.44388398486759</v>
      </c>
      <c r="I20" s="56"/>
    </row>
    <row r="21" spans="1:9" s="28" customFormat="1" ht="43.5" customHeight="1">
      <c r="A21" s="344" t="s">
        <v>124</v>
      </c>
      <c r="B21" s="53">
        <v>1032</v>
      </c>
      <c r="C21" s="54" t="s">
        <v>185</v>
      </c>
      <c r="D21" s="54" t="s">
        <v>185</v>
      </c>
      <c r="E21" s="54" t="s">
        <v>185</v>
      </c>
      <c r="F21" s="54" t="str">
        <f t="shared" ref="F21:F39" si="3">D21</f>
        <v>(    )</v>
      </c>
      <c r="G21" s="124"/>
      <c r="H21" s="129"/>
      <c r="I21" s="56"/>
    </row>
    <row r="22" spans="1:9" s="28" customFormat="1" ht="43.5" customHeight="1">
      <c r="A22" s="344" t="s">
        <v>22</v>
      </c>
      <c r="B22" s="53">
        <v>1033</v>
      </c>
      <c r="C22" s="54">
        <v>-15.5</v>
      </c>
      <c r="D22" s="54" t="s">
        <v>185</v>
      </c>
      <c r="E22" s="54" t="s">
        <v>185</v>
      </c>
      <c r="F22" s="54" t="str">
        <f t="shared" si="3"/>
        <v>(    )</v>
      </c>
      <c r="G22" s="124"/>
      <c r="H22" s="129"/>
      <c r="I22" s="56"/>
    </row>
    <row r="23" spans="1:9" s="28" customFormat="1" ht="48" customHeight="1">
      <c r="A23" s="344" t="s">
        <v>32</v>
      </c>
      <c r="B23" s="53">
        <v>1034</v>
      </c>
      <c r="C23" s="54">
        <v>-0.7</v>
      </c>
      <c r="D23" s="54">
        <v>-14.8</v>
      </c>
      <c r="E23" s="54">
        <v>-30</v>
      </c>
      <c r="F23" s="54">
        <f t="shared" si="3"/>
        <v>-14.8</v>
      </c>
      <c r="G23" s="124">
        <f>F23-E23</f>
        <v>15.2</v>
      </c>
      <c r="H23" s="129">
        <f>(F23/E23)*100</f>
        <v>49.333333333333336</v>
      </c>
      <c r="I23" s="56"/>
    </row>
    <row r="24" spans="1:9" s="28" customFormat="1" ht="45" customHeight="1">
      <c r="A24" s="344" t="s">
        <v>33</v>
      </c>
      <c r="B24" s="53">
        <v>1035</v>
      </c>
      <c r="C24" s="54">
        <v>-228.5</v>
      </c>
      <c r="D24" s="54">
        <v>-286</v>
      </c>
      <c r="E24" s="54">
        <v>-230</v>
      </c>
      <c r="F24" s="54">
        <f t="shared" si="3"/>
        <v>-286</v>
      </c>
      <c r="G24" s="124">
        <f>F24-E24</f>
        <v>-56</v>
      </c>
      <c r="H24" s="129">
        <f>(F24/E24)*100</f>
        <v>124.34782608695652</v>
      </c>
      <c r="I24" s="56"/>
    </row>
    <row r="25" spans="1:9" s="28" customFormat="1" ht="36" customHeight="1">
      <c r="A25" s="344" t="s">
        <v>34</v>
      </c>
      <c r="B25" s="53">
        <v>1036</v>
      </c>
      <c r="C25" s="54">
        <v>-19069.5</v>
      </c>
      <c r="D25" s="54">
        <v>-23268.1</v>
      </c>
      <c r="E25" s="54">
        <v>-26431</v>
      </c>
      <c r="F25" s="54">
        <f t="shared" si="3"/>
        <v>-23268.1</v>
      </c>
      <c r="G25" s="124">
        <f t="shared" ref="G25:G27" si="4">F25-E25</f>
        <v>3162.9000000000015</v>
      </c>
      <c r="H25" s="129">
        <f t="shared" ref="H25:H27" si="5">(F25/E25)*100</f>
        <v>88.033369906549126</v>
      </c>
      <c r="I25" s="56"/>
    </row>
    <row r="26" spans="1:9" s="28" customFormat="1" ht="46.5" customHeight="1">
      <c r="A26" s="344" t="s">
        <v>35</v>
      </c>
      <c r="B26" s="53">
        <v>1037</v>
      </c>
      <c r="C26" s="54">
        <v>-4268.1000000000004</v>
      </c>
      <c r="D26" s="54">
        <v>-4957.7</v>
      </c>
      <c r="E26" s="54">
        <v>-5815</v>
      </c>
      <c r="F26" s="54">
        <f t="shared" si="3"/>
        <v>-4957.7</v>
      </c>
      <c r="G26" s="124">
        <f t="shared" si="4"/>
        <v>857.30000000000018</v>
      </c>
      <c r="H26" s="129">
        <f t="shared" si="5"/>
        <v>85.257093723129827</v>
      </c>
      <c r="I26" s="56"/>
    </row>
    <row r="27" spans="1:9" s="28" customFormat="1" ht="54.75" customHeight="1">
      <c r="A27" s="344" t="s">
        <v>36</v>
      </c>
      <c r="B27" s="53">
        <v>1038</v>
      </c>
      <c r="C27" s="54">
        <v>-590.5</v>
      </c>
      <c r="D27" s="54">
        <v>-710.3</v>
      </c>
      <c r="E27" s="54">
        <v>-584</v>
      </c>
      <c r="F27" s="54">
        <f t="shared" si="3"/>
        <v>-710.3</v>
      </c>
      <c r="G27" s="124">
        <f t="shared" si="4"/>
        <v>-126.29999999999995</v>
      </c>
      <c r="H27" s="129">
        <f t="shared" si="5"/>
        <v>121.62671232876711</v>
      </c>
      <c r="I27" s="56"/>
    </row>
    <row r="28" spans="1:9" s="347" customFormat="1" ht="54" customHeight="1">
      <c r="A28" s="344" t="s">
        <v>37</v>
      </c>
      <c r="B28" s="53">
        <v>1039</v>
      </c>
      <c r="C28" s="54" t="s">
        <v>185</v>
      </c>
      <c r="D28" s="54" t="s">
        <v>185</v>
      </c>
      <c r="E28" s="54" t="s">
        <v>185</v>
      </c>
      <c r="F28" s="54" t="str">
        <f t="shared" si="3"/>
        <v>(    )</v>
      </c>
      <c r="G28" s="124"/>
      <c r="H28" s="129"/>
      <c r="I28" s="56"/>
    </row>
    <row r="29" spans="1:9" s="28" customFormat="1" ht="43.5" customHeight="1">
      <c r="A29" s="344" t="s">
        <v>38</v>
      </c>
      <c r="B29" s="53">
        <v>1040</v>
      </c>
      <c r="C29" s="54">
        <v>-0.8</v>
      </c>
      <c r="D29" s="54" t="s">
        <v>185</v>
      </c>
      <c r="E29" s="54" t="s">
        <v>185</v>
      </c>
      <c r="F29" s="54" t="str">
        <f t="shared" si="3"/>
        <v>(    )</v>
      </c>
      <c r="G29" s="124"/>
      <c r="H29" s="129"/>
      <c r="I29" s="56"/>
    </row>
    <row r="30" spans="1:9" s="28" customFormat="1" ht="43.5" customHeight="1">
      <c r="A30" s="344" t="s">
        <v>39</v>
      </c>
      <c r="B30" s="53">
        <v>1041</v>
      </c>
      <c r="C30" s="54">
        <v>-16.5</v>
      </c>
      <c r="D30" s="54">
        <v>-5.0999999999999996</v>
      </c>
      <c r="E30" s="54">
        <v>0</v>
      </c>
      <c r="F30" s="54">
        <f t="shared" si="3"/>
        <v>-5.0999999999999996</v>
      </c>
      <c r="G30" s="124">
        <f t="shared" ref="G30:G50" si="6">F30-E30</f>
        <v>-5.0999999999999996</v>
      </c>
      <c r="H30" s="129"/>
      <c r="I30" s="56"/>
    </row>
    <row r="31" spans="1:9" s="28" customFormat="1" ht="43.5" customHeight="1">
      <c r="A31" s="344" t="s">
        <v>796</v>
      </c>
      <c r="B31" s="53">
        <v>1042</v>
      </c>
      <c r="C31" s="54">
        <f>(-68.1)+(-49.2)</f>
        <v>-117.3</v>
      </c>
      <c r="D31" s="54">
        <v>-211.3</v>
      </c>
      <c r="E31" s="54">
        <v>0</v>
      </c>
      <c r="F31" s="54">
        <f t="shared" si="3"/>
        <v>-211.3</v>
      </c>
      <c r="G31" s="124">
        <f t="shared" si="6"/>
        <v>-211.3</v>
      </c>
      <c r="H31" s="129"/>
      <c r="I31" s="56"/>
    </row>
    <row r="32" spans="1:9" s="28" customFormat="1" ht="43.5" customHeight="1">
      <c r="A32" s="344" t="s">
        <v>55</v>
      </c>
      <c r="B32" s="53">
        <v>1043</v>
      </c>
      <c r="C32" s="54">
        <v>-90.7</v>
      </c>
      <c r="D32" s="54">
        <v>-115.7</v>
      </c>
      <c r="E32" s="54">
        <v>-80</v>
      </c>
      <c r="F32" s="54">
        <f t="shared" si="3"/>
        <v>-115.7</v>
      </c>
      <c r="G32" s="124">
        <f t="shared" si="6"/>
        <v>-35.700000000000003</v>
      </c>
      <c r="H32" s="129">
        <f t="shared" ref="H32:H68" si="7">(F32/E32)*100</f>
        <v>144.625</v>
      </c>
      <c r="I32" s="56"/>
    </row>
    <row r="33" spans="1:9" s="28" customFormat="1" ht="43.5" customHeight="1">
      <c r="A33" s="344" t="s">
        <v>40</v>
      </c>
      <c r="B33" s="53">
        <v>1044</v>
      </c>
      <c r="C33" s="54" t="s">
        <v>185</v>
      </c>
      <c r="D33" s="54">
        <v>-171.2</v>
      </c>
      <c r="E33" s="54">
        <v>0</v>
      </c>
      <c r="F33" s="54">
        <f t="shared" si="3"/>
        <v>-171.2</v>
      </c>
      <c r="G33" s="124">
        <f t="shared" si="6"/>
        <v>-171.2</v>
      </c>
      <c r="H33" s="129"/>
      <c r="I33" s="56"/>
    </row>
    <row r="34" spans="1:9" s="28" customFormat="1" ht="43.5" customHeight="1">
      <c r="A34" s="344" t="s">
        <v>41</v>
      </c>
      <c r="B34" s="53">
        <v>1045</v>
      </c>
      <c r="C34" s="54" t="s">
        <v>185</v>
      </c>
      <c r="D34" s="54">
        <v>-49.2</v>
      </c>
      <c r="E34" s="54">
        <v>0</v>
      </c>
      <c r="F34" s="54">
        <f t="shared" si="3"/>
        <v>-49.2</v>
      </c>
      <c r="G34" s="124">
        <f t="shared" si="6"/>
        <v>-49.2</v>
      </c>
      <c r="H34" s="129"/>
      <c r="I34" s="56"/>
    </row>
    <row r="35" spans="1:9" s="28" customFormat="1" ht="43.5" customHeight="1">
      <c r="A35" s="344" t="s">
        <v>42</v>
      </c>
      <c r="B35" s="53">
        <v>1046</v>
      </c>
      <c r="C35" s="54">
        <v>-6.9</v>
      </c>
      <c r="D35" s="54">
        <v>-13.5</v>
      </c>
      <c r="E35" s="54">
        <v>0</v>
      </c>
      <c r="F35" s="54">
        <f t="shared" si="3"/>
        <v>-13.5</v>
      </c>
      <c r="G35" s="124">
        <f>F35-E35</f>
        <v>-13.5</v>
      </c>
      <c r="H35" s="129"/>
      <c r="I35" s="56"/>
    </row>
    <row r="36" spans="1:9" s="28" customFormat="1" ht="43.5" customHeight="1">
      <c r="A36" s="344" t="s">
        <v>43</v>
      </c>
      <c r="B36" s="53">
        <v>1047</v>
      </c>
      <c r="C36" s="54">
        <v>-109.2</v>
      </c>
      <c r="D36" s="54">
        <v>-19.8</v>
      </c>
      <c r="E36" s="54">
        <v>-200</v>
      </c>
      <c r="F36" s="54">
        <f t="shared" si="3"/>
        <v>-19.8</v>
      </c>
      <c r="G36" s="124">
        <f>F36-E36</f>
        <v>180.2</v>
      </c>
      <c r="H36" s="129">
        <f>(F36/E36)*100</f>
        <v>9.9</v>
      </c>
      <c r="I36" s="56"/>
    </row>
    <row r="37" spans="1:9" s="347" customFormat="1" ht="51" customHeight="1">
      <c r="A37" s="344" t="s">
        <v>63</v>
      </c>
      <c r="B37" s="53">
        <v>1048</v>
      </c>
      <c r="C37" s="54">
        <v>-64.099999999999994</v>
      </c>
      <c r="D37" s="54">
        <v>-199.3</v>
      </c>
      <c r="E37" s="54">
        <v>-34</v>
      </c>
      <c r="F37" s="54">
        <f t="shared" si="3"/>
        <v>-199.3</v>
      </c>
      <c r="G37" s="124">
        <f>F37-E37</f>
        <v>-165.3</v>
      </c>
      <c r="H37" s="129">
        <f>(F37/E37)*100</f>
        <v>586.17647058823536</v>
      </c>
      <c r="I37" s="56"/>
    </row>
    <row r="38" spans="1:9" s="28" customFormat="1" ht="43.5" customHeight="1">
      <c r="A38" s="344" t="s">
        <v>44</v>
      </c>
      <c r="B38" s="53" t="s">
        <v>359</v>
      </c>
      <c r="C38" s="54">
        <v>-64.099999999999994</v>
      </c>
      <c r="D38" s="54" t="s">
        <v>185</v>
      </c>
      <c r="E38" s="54">
        <v>-34</v>
      </c>
      <c r="F38" s="54">
        <v>0</v>
      </c>
      <c r="G38" s="124">
        <f>F38-E38</f>
        <v>34</v>
      </c>
      <c r="H38" s="129">
        <f>(F38/E38)*100</f>
        <v>0</v>
      </c>
      <c r="I38" s="56"/>
    </row>
    <row r="39" spans="1:9" s="28" customFormat="1" ht="43.5" customHeight="1">
      <c r="A39" s="344" t="s">
        <v>84</v>
      </c>
      <c r="B39" s="53">
        <v>1049</v>
      </c>
      <c r="C39" s="54">
        <f>-'Розшифровка фінрезультати'!C28</f>
        <v>-908.89999999999986</v>
      </c>
      <c r="D39" s="54">
        <f>-'[36]Розшифровка фінрезультати'!E31</f>
        <v>-1603.1</v>
      </c>
      <c r="E39" s="54">
        <f>-'Розшифровка фінрезультати'!D28</f>
        <v>-1093.3999999999999</v>
      </c>
      <c r="F39" s="54">
        <f t="shared" si="3"/>
        <v>-1603.1</v>
      </c>
      <c r="G39" s="124">
        <f t="shared" ref="G39:G40" si="8">F39-E39</f>
        <v>-509.70000000000005</v>
      </c>
      <c r="H39" s="129">
        <f t="shared" ref="H39:H40" si="9">(F39/E39)*100</f>
        <v>146.61605999634168</v>
      </c>
      <c r="I39" s="56"/>
    </row>
    <row r="40" spans="1:9" s="28" customFormat="1" ht="44.25" customHeight="1">
      <c r="A40" s="326" t="s">
        <v>131</v>
      </c>
      <c r="B40" s="94">
        <v>1060</v>
      </c>
      <c r="C40" s="341">
        <f>SUM(C41:C47)</f>
        <v>-16579</v>
      </c>
      <c r="D40" s="341">
        <f>SUM(D41:D47)</f>
        <v>-33105</v>
      </c>
      <c r="E40" s="341">
        <f>SUM(E41:E47)</f>
        <v>-37268.800000000003</v>
      </c>
      <c r="F40" s="341">
        <f>SUM(F41:F47)</f>
        <v>-33105</v>
      </c>
      <c r="G40" s="127">
        <f t="shared" si="8"/>
        <v>4163.8000000000029</v>
      </c>
      <c r="H40" s="130">
        <f t="shared" si="9"/>
        <v>88.827652084317165</v>
      </c>
      <c r="I40" s="94"/>
    </row>
    <row r="41" spans="1:9" s="28" customFormat="1" ht="36" customHeight="1">
      <c r="A41" s="344" t="s">
        <v>112</v>
      </c>
      <c r="B41" s="53">
        <v>1061</v>
      </c>
      <c r="C41" s="366" t="s">
        <v>185</v>
      </c>
      <c r="D41" s="366" t="s">
        <v>185</v>
      </c>
      <c r="E41" s="366" t="s">
        <v>185</v>
      </c>
      <c r="F41" s="342" t="str">
        <f>D41</f>
        <v>(    )</v>
      </c>
      <c r="G41" s="132"/>
      <c r="H41" s="133"/>
      <c r="I41" s="56"/>
    </row>
    <row r="42" spans="1:9" s="28" customFormat="1" ht="36" customHeight="1">
      <c r="A42" s="344" t="s">
        <v>113</v>
      </c>
      <c r="B42" s="53">
        <v>1062</v>
      </c>
      <c r="C42" s="54" t="s">
        <v>185</v>
      </c>
      <c r="D42" s="54" t="s">
        <v>185</v>
      </c>
      <c r="E42" s="54" t="s">
        <v>185</v>
      </c>
      <c r="F42" s="342" t="str">
        <f t="shared" ref="F42:F47" si="10">D42</f>
        <v>(    )</v>
      </c>
      <c r="G42" s="124"/>
      <c r="H42" s="129"/>
      <c r="I42" s="56"/>
    </row>
    <row r="43" spans="1:9" s="28" customFormat="1" ht="36" customHeight="1">
      <c r="A43" s="344" t="s">
        <v>34</v>
      </c>
      <c r="B43" s="53">
        <v>1063</v>
      </c>
      <c r="C43" s="54">
        <v>-10074.700000000001</v>
      </c>
      <c r="D43" s="54">
        <v>-10928</v>
      </c>
      <c r="E43" s="54">
        <v>-13827</v>
      </c>
      <c r="F43" s="342">
        <f t="shared" si="10"/>
        <v>-10928</v>
      </c>
      <c r="G43" s="191">
        <f>(F43)-(E43)</f>
        <v>2899</v>
      </c>
      <c r="H43" s="129">
        <f t="shared" ref="H43" si="11">(F43/E43)*100</f>
        <v>79.033774499168302</v>
      </c>
      <c r="I43" s="56"/>
    </row>
    <row r="44" spans="1:9" s="28" customFormat="1" ht="36" customHeight="1">
      <c r="A44" s="344" t="s">
        <v>35</v>
      </c>
      <c r="B44" s="53">
        <v>1064</v>
      </c>
      <c r="C44" s="54">
        <v>-1993.8</v>
      </c>
      <c r="D44" s="54">
        <v>-2282.6999999999998</v>
      </c>
      <c r="E44" s="54">
        <v>-3042</v>
      </c>
      <c r="F44" s="342">
        <f t="shared" si="10"/>
        <v>-2282.6999999999998</v>
      </c>
      <c r="G44" s="191">
        <f>(F44)-(E44)</f>
        <v>759.30000000000018</v>
      </c>
      <c r="H44" s="129">
        <f t="shared" ref="H44" si="12">(F44/E44)*100</f>
        <v>75.039447731755416</v>
      </c>
      <c r="I44" s="56"/>
    </row>
    <row r="45" spans="1:9" s="28" customFormat="1" ht="36" customHeight="1">
      <c r="A45" s="344" t="s">
        <v>54</v>
      </c>
      <c r="B45" s="53">
        <v>1065</v>
      </c>
      <c r="C45" s="54" t="s">
        <v>185</v>
      </c>
      <c r="D45" s="54" t="s">
        <v>185</v>
      </c>
      <c r="E45" s="54" t="s">
        <v>185</v>
      </c>
      <c r="F45" s="342" t="str">
        <f t="shared" si="10"/>
        <v>(    )</v>
      </c>
      <c r="G45" s="124"/>
      <c r="H45" s="129"/>
      <c r="I45" s="56"/>
    </row>
    <row r="46" spans="1:9" s="28" customFormat="1" ht="36" customHeight="1">
      <c r="A46" s="344" t="s">
        <v>66</v>
      </c>
      <c r="B46" s="53">
        <v>1066</v>
      </c>
      <c r="C46" s="54">
        <v>-65.5</v>
      </c>
      <c r="D46" s="54">
        <v>-3.9</v>
      </c>
      <c r="E46" s="54">
        <v>-90</v>
      </c>
      <c r="F46" s="342">
        <f t="shared" si="10"/>
        <v>-3.9</v>
      </c>
      <c r="G46" s="191">
        <f>(F46)-(E46)</f>
        <v>86.1</v>
      </c>
      <c r="H46" s="129">
        <f t="shared" ref="H46" si="13">(F46/E46)*100</f>
        <v>4.3333333333333339</v>
      </c>
      <c r="I46" s="56"/>
    </row>
    <row r="47" spans="1:9" s="28" customFormat="1" ht="36" customHeight="1">
      <c r="A47" s="344" t="s">
        <v>430</v>
      </c>
      <c r="B47" s="53">
        <v>1067</v>
      </c>
      <c r="C47" s="54">
        <f>-'Розшифровка фінрезультати'!C42</f>
        <v>-4445</v>
      </c>
      <c r="D47" s="54">
        <f>-'Розшифровка фінрезультати'!E42</f>
        <v>-19890.400000000001</v>
      </c>
      <c r="E47" s="54">
        <f>-'Розшифровка фінрезультати'!D42</f>
        <v>-20309.8</v>
      </c>
      <c r="F47" s="342">
        <f t="shared" si="10"/>
        <v>-19890.400000000001</v>
      </c>
      <c r="G47" s="191">
        <f>(F47)-(E47)</f>
        <v>419.39999999999782</v>
      </c>
      <c r="H47" s="129">
        <f>(F47/E47)*100</f>
        <v>97.934987050586429</v>
      </c>
      <c r="I47" s="56"/>
    </row>
    <row r="48" spans="1:9" s="28" customFormat="1" ht="44.25" customHeight="1">
      <c r="A48" s="93" t="s">
        <v>202</v>
      </c>
      <c r="B48" s="94">
        <v>1070</v>
      </c>
      <c r="C48" s="367">
        <f>SUM(C49:C51)</f>
        <v>405888</v>
      </c>
      <c r="D48" s="367">
        <f>SUM(D49:D51)</f>
        <v>430278</v>
      </c>
      <c r="E48" s="367">
        <f>SUM(E49:E51)</f>
        <v>593927</v>
      </c>
      <c r="F48" s="367">
        <f>SUM(F49:F51)</f>
        <v>430278</v>
      </c>
      <c r="G48" s="154">
        <f>F48-E48</f>
        <v>-163649</v>
      </c>
      <c r="H48" s="131">
        <f t="shared" si="7"/>
        <v>72.446277067720445</v>
      </c>
      <c r="I48" s="93"/>
    </row>
    <row r="49" spans="1:9" s="28" customFormat="1" ht="36" customHeight="1">
      <c r="A49" s="344" t="s">
        <v>128</v>
      </c>
      <c r="B49" s="53">
        <v>1071</v>
      </c>
      <c r="C49" s="366"/>
      <c r="D49" s="366"/>
      <c r="E49" s="366"/>
      <c r="F49" s="366">
        <f>D49</f>
        <v>0</v>
      </c>
      <c r="G49" s="132">
        <f t="shared" si="6"/>
        <v>0</v>
      </c>
      <c r="H49" s="133"/>
      <c r="I49" s="56"/>
    </row>
    <row r="50" spans="1:9" s="28" customFormat="1" ht="36" customHeight="1">
      <c r="A50" s="344" t="s">
        <v>231</v>
      </c>
      <c r="B50" s="53">
        <v>1072</v>
      </c>
      <c r="C50" s="54"/>
      <c r="D50" s="54"/>
      <c r="E50" s="54"/>
      <c r="F50" s="366">
        <f t="shared" ref="F50:F51" si="14">D50</f>
        <v>0</v>
      </c>
      <c r="G50" s="124">
        <f t="shared" si="6"/>
        <v>0</v>
      </c>
      <c r="H50" s="129"/>
      <c r="I50" s="56"/>
    </row>
    <row r="51" spans="1:9" s="28" customFormat="1" ht="36" customHeight="1">
      <c r="A51" s="344" t="s">
        <v>203</v>
      </c>
      <c r="B51" s="53">
        <v>1073</v>
      </c>
      <c r="C51" s="54">
        <f>'Розшифровка фінрезультати'!C75</f>
        <v>405888</v>
      </c>
      <c r="D51" s="54">
        <f>'Розшифровка фінрезультати'!E75</f>
        <v>430278</v>
      </c>
      <c r="E51" s="54">
        <f>'Розшифровка фінрезультати'!D75</f>
        <v>593927</v>
      </c>
      <c r="F51" s="342">
        <f t="shared" si="14"/>
        <v>430278</v>
      </c>
      <c r="G51" s="124">
        <f>F51-E51</f>
        <v>-163649</v>
      </c>
      <c r="H51" s="129">
        <f>(F51/E51)*100</f>
        <v>72.446277067720445</v>
      </c>
      <c r="I51" s="56"/>
    </row>
    <row r="52" spans="1:9" s="28" customFormat="1" ht="44.25" customHeight="1">
      <c r="A52" s="93" t="s">
        <v>67</v>
      </c>
      <c r="B52" s="94">
        <v>1080</v>
      </c>
      <c r="C52" s="51">
        <f>SUM(C53:C58)</f>
        <v>-46390.000000000007</v>
      </c>
      <c r="D52" s="51">
        <f>SUM(D53:D58)</f>
        <v>-6921.0000000000009</v>
      </c>
      <c r="E52" s="51">
        <f>SUM(E53:E58)</f>
        <v>-7065.7</v>
      </c>
      <c r="F52" s="51">
        <f>SUM(F53:F58)</f>
        <v>-6921.0000000000009</v>
      </c>
      <c r="G52" s="127">
        <f>F52-E52</f>
        <v>144.69999999999891</v>
      </c>
      <c r="H52" s="130">
        <f>(F52/E52)*100</f>
        <v>97.952078350340386</v>
      </c>
      <c r="I52" s="93"/>
    </row>
    <row r="53" spans="1:9" s="28" customFormat="1" ht="36" customHeight="1">
      <c r="A53" s="344" t="s">
        <v>128</v>
      </c>
      <c r="B53" s="53">
        <v>1081</v>
      </c>
      <c r="C53" s="54" t="s">
        <v>185</v>
      </c>
      <c r="D53" s="54" t="s">
        <v>185</v>
      </c>
      <c r="E53" s="54" t="s">
        <v>185</v>
      </c>
      <c r="F53" s="54" t="str">
        <f>D53</f>
        <v>(    )</v>
      </c>
      <c r="G53" s="124"/>
      <c r="H53" s="129"/>
      <c r="I53" s="56"/>
    </row>
    <row r="54" spans="1:9" s="28" customFormat="1" ht="36" customHeight="1">
      <c r="A54" s="344" t="s">
        <v>293</v>
      </c>
      <c r="B54" s="53">
        <v>1082</v>
      </c>
      <c r="C54" s="54" t="s">
        <v>185</v>
      </c>
      <c r="D54" s="54" t="s">
        <v>185</v>
      </c>
      <c r="E54" s="54" t="s">
        <v>185</v>
      </c>
      <c r="F54" s="54" t="str">
        <f t="shared" ref="F54:F58" si="15">D54</f>
        <v>(    )</v>
      </c>
      <c r="G54" s="124"/>
      <c r="H54" s="129"/>
      <c r="I54" s="56"/>
    </row>
    <row r="55" spans="1:9" s="28" customFormat="1" ht="36" customHeight="1">
      <c r="A55" s="344" t="s">
        <v>61</v>
      </c>
      <c r="B55" s="53">
        <v>1083</v>
      </c>
      <c r="C55" s="54" t="s">
        <v>185</v>
      </c>
      <c r="D55" s="54" t="s">
        <v>185</v>
      </c>
      <c r="E55" s="54" t="s">
        <v>185</v>
      </c>
      <c r="F55" s="54" t="str">
        <f t="shared" si="15"/>
        <v>(    )</v>
      </c>
      <c r="G55" s="124"/>
      <c r="H55" s="129"/>
      <c r="I55" s="56"/>
    </row>
    <row r="56" spans="1:9" s="28" customFormat="1" ht="36" customHeight="1">
      <c r="A56" s="344" t="s">
        <v>45</v>
      </c>
      <c r="B56" s="53">
        <v>1084</v>
      </c>
      <c r="C56" s="54" t="s">
        <v>185</v>
      </c>
      <c r="D56" s="54" t="s">
        <v>185</v>
      </c>
      <c r="E56" s="54" t="s">
        <v>185</v>
      </c>
      <c r="F56" s="54" t="str">
        <f t="shared" si="15"/>
        <v>(    )</v>
      </c>
      <c r="G56" s="124"/>
      <c r="H56" s="55"/>
      <c r="I56" s="56"/>
    </row>
    <row r="57" spans="1:9" s="28" customFormat="1" ht="36" customHeight="1">
      <c r="A57" s="344" t="s">
        <v>53</v>
      </c>
      <c r="B57" s="53">
        <v>1085</v>
      </c>
      <c r="C57" s="54" t="s">
        <v>185</v>
      </c>
      <c r="D57" s="54" t="s">
        <v>185</v>
      </c>
      <c r="E57" s="54" t="s">
        <v>185</v>
      </c>
      <c r="F57" s="54" t="str">
        <f t="shared" si="15"/>
        <v>(    )</v>
      </c>
      <c r="G57" s="124"/>
      <c r="H57" s="129"/>
      <c r="I57" s="56"/>
    </row>
    <row r="58" spans="1:9" s="28" customFormat="1" ht="36" customHeight="1">
      <c r="A58" s="344" t="s">
        <v>142</v>
      </c>
      <c r="B58" s="53">
        <v>1086</v>
      </c>
      <c r="C58" s="54">
        <f>-'Розшифровка фінрезультати'!C48</f>
        <v>-46390.000000000007</v>
      </c>
      <c r="D58" s="54">
        <f>-'Розшифровка фінрезультати'!E48</f>
        <v>-6921.0000000000009</v>
      </c>
      <c r="E58" s="54">
        <f>-'Розшифровка фінрезультати'!D48</f>
        <v>-7065.7</v>
      </c>
      <c r="F58" s="54">
        <f t="shared" si="15"/>
        <v>-6921.0000000000009</v>
      </c>
      <c r="G58" s="124">
        <f>(F58)-(E58)</f>
        <v>144.69999999999891</v>
      </c>
      <c r="H58" s="129">
        <f>(F58/E58)*100</f>
        <v>97.952078350340386</v>
      </c>
      <c r="I58" s="56"/>
    </row>
    <row r="59" spans="1:9" s="28" customFormat="1" ht="44.25" customHeight="1">
      <c r="A59" s="93" t="s">
        <v>4</v>
      </c>
      <c r="B59" s="94">
        <v>1100</v>
      </c>
      <c r="C59" s="368">
        <f>SUM(C18,C19,C40,C48,C52)</f>
        <v>-20955.000000000007</v>
      </c>
      <c r="D59" s="368">
        <f>SUM(D18,D19,D40,D48,D52)</f>
        <v>-18173.999999999884</v>
      </c>
      <c r="E59" s="368">
        <f>ROUNDUP(SUM(E18,E19,E40,E48,E52),0)</f>
        <v>-1762</v>
      </c>
      <c r="F59" s="368">
        <f>SUM(F18,F19,F40,F48,F52)</f>
        <v>-18173.999999999884</v>
      </c>
      <c r="G59" s="137">
        <f>F59-E59</f>
        <v>-16411.999999999884</v>
      </c>
      <c r="H59" s="134">
        <f>(F59/E59)*100</f>
        <v>1031.4415437003338</v>
      </c>
      <c r="I59" s="93"/>
    </row>
    <row r="60" spans="1:9" s="28" customFormat="1" ht="36" customHeight="1">
      <c r="A60" s="344" t="s">
        <v>82</v>
      </c>
      <c r="B60" s="53">
        <v>1110</v>
      </c>
      <c r="C60" s="54"/>
      <c r="D60" s="54"/>
      <c r="E60" s="54"/>
      <c r="F60" s="54"/>
      <c r="G60" s="124"/>
      <c r="H60" s="129"/>
      <c r="I60" s="56"/>
    </row>
    <row r="61" spans="1:9" s="28" customFormat="1" ht="36" customHeight="1">
      <c r="A61" s="344" t="s">
        <v>86</v>
      </c>
      <c r="B61" s="53">
        <v>1120</v>
      </c>
      <c r="C61" s="54" t="s">
        <v>185</v>
      </c>
      <c r="D61" s="54" t="s">
        <v>185</v>
      </c>
      <c r="E61" s="54" t="s">
        <v>185</v>
      </c>
      <c r="F61" s="54" t="s">
        <v>185</v>
      </c>
      <c r="G61" s="124"/>
      <c r="H61" s="129"/>
      <c r="I61" s="56"/>
    </row>
    <row r="62" spans="1:9" s="28" customFormat="1" ht="44.25" customHeight="1">
      <c r="A62" s="93" t="s">
        <v>83</v>
      </c>
      <c r="B62" s="94">
        <v>1130</v>
      </c>
      <c r="C62" s="369">
        <f>'Розшифровка фінрезультати'!C92</f>
        <v>108</v>
      </c>
      <c r="D62" s="369">
        <f>'Розшифровка фінрезультати'!E92</f>
        <v>192</v>
      </c>
      <c r="E62" s="369">
        <f>'Розшифровка фінрезультати'!D92</f>
        <v>150</v>
      </c>
      <c r="F62" s="369">
        <f>D62</f>
        <v>192</v>
      </c>
      <c r="G62" s="135"/>
      <c r="H62" s="134"/>
      <c r="I62" s="93"/>
    </row>
    <row r="63" spans="1:9" s="28" customFormat="1" ht="44.25" customHeight="1">
      <c r="A63" s="93" t="s">
        <v>85</v>
      </c>
      <c r="B63" s="94">
        <v>1140</v>
      </c>
      <c r="C63" s="51">
        <f>-'Розшифровка фінрезультати'!C62</f>
        <v>-1287</v>
      </c>
      <c r="D63" s="51">
        <f>-'Розшифровка фінрезультати'!E62</f>
        <v>-3988</v>
      </c>
      <c r="E63" s="51">
        <f>-'Розшифровка фінрезультати'!D62</f>
        <v>-3398.9</v>
      </c>
      <c r="F63" s="51">
        <f>D63</f>
        <v>-3988</v>
      </c>
      <c r="G63" s="137">
        <f>F63-E63</f>
        <v>-589.09999999999991</v>
      </c>
      <c r="H63" s="134">
        <f>(F63/E63)*100</f>
        <v>117.33207802524346</v>
      </c>
      <c r="I63" s="93"/>
    </row>
    <row r="64" spans="1:9" s="28" customFormat="1" ht="44.25" customHeight="1">
      <c r="A64" s="93" t="s">
        <v>204</v>
      </c>
      <c r="B64" s="94">
        <v>1150</v>
      </c>
      <c r="C64" s="370">
        <f>SUM(C65:C66)</f>
        <v>5280.0000000000009</v>
      </c>
      <c r="D64" s="370">
        <f>SUM(D65:D66)</f>
        <v>6237</v>
      </c>
      <c r="E64" s="370">
        <f>SUM(E65:E66)</f>
        <v>5111</v>
      </c>
      <c r="F64" s="370">
        <f>SUM(F65:F66)</f>
        <v>6237</v>
      </c>
      <c r="G64" s="137">
        <f>F64-E64</f>
        <v>1126</v>
      </c>
      <c r="H64" s="134">
        <f>(F64/E64)*100</f>
        <v>122.03091371551555</v>
      </c>
      <c r="I64" s="93"/>
    </row>
    <row r="65" spans="1:9" s="28" customFormat="1" ht="36" customHeight="1">
      <c r="A65" s="344" t="s">
        <v>128</v>
      </c>
      <c r="B65" s="53">
        <v>1151</v>
      </c>
      <c r="C65" s="95"/>
      <c r="D65" s="95"/>
      <c r="E65" s="95"/>
      <c r="F65" s="95"/>
      <c r="G65" s="108">
        <f t="shared" ref="G65" si="16">F65-E65</f>
        <v>0</v>
      </c>
      <c r="H65" s="136"/>
      <c r="I65" s="56"/>
    </row>
    <row r="66" spans="1:9" s="28" customFormat="1" ht="36" customHeight="1">
      <c r="A66" s="344" t="s">
        <v>205</v>
      </c>
      <c r="B66" s="53">
        <v>1152</v>
      </c>
      <c r="C66" s="54">
        <f>'Розшифровка фінрезультати'!C94</f>
        <v>5280.0000000000009</v>
      </c>
      <c r="D66" s="54">
        <f>'Розшифровка фінрезультати'!E94</f>
        <v>6237</v>
      </c>
      <c r="E66" s="54">
        <f>'Розшифровка фінрезультати'!D94</f>
        <v>5111</v>
      </c>
      <c r="F66" s="54">
        <f>D66</f>
        <v>6237</v>
      </c>
      <c r="G66" s="124">
        <f>F66-E66</f>
        <v>1126</v>
      </c>
      <c r="H66" s="129">
        <f t="shared" si="7"/>
        <v>122.03091371551555</v>
      </c>
      <c r="I66" s="56"/>
    </row>
    <row r="67" spans="1:9" s="28" customFormat="1" ht="38.25" customHeight="1">
      <c r="A67" s="93" t="s">
        <v>206</v>
      </c>
      <c r="B67" s="94">
        <v>1160</v>
      </c>
      <c r="C67" s="51">
        <f>SUM(C68:C69)</f>
        <v>-264</v>
      </c>
      <c r="D67" s="51">
        <f t="shared" ref="D67:F67" si="17">SUM(D68:D69)</f>
        <v>-24</v>
      </c>
      <c r="E67" s="51">
        <f t="shared" si="17"/>
        <v>-100</v>
      </c>
      <c r="F67" s="51">
        <f t="shared" si="17"/>
        <v>-24</v>
      </c>
      <c r="G67" s="127">
        <f>F67-E67</f>
        <v>76</v>
      </c>
      <c r="H67" s="129"/>
      <c r="I67" s="93"/>
    </row>
    <row r="68" spans="1:9" s="28" customFormat="1" ht="37.5" customHeight="1">
      <c r="A68" s="344" t="s">
        <v>128</v>
      </c>
      <c r="B68" s="53">
        <v>1161</v>
      </c>
      <c r="C68" s="54" t="s">
        <v>185</v>
      </c>
      <c r="D68" s="54" t="s">
        <v>185</v>
      </c>
      <c r="E68" s="54" t="s">
        <v>185</v>
      </c>
      <c r="F68" s="54" t="s">
        <v>185</v>
      </c>
      <c r="G68" s="127"/>
      <c r="H68" s="98" t="e">
        <f t="shared" si="7"/>
        <v>#VALUE!</v>
      </c>
      <c r="I68" s="56"/>
    </row>
    <row r="69" spans="1:9" s="28" customFormat="1" ht="39" customHeight="1">
      <c r="A69" s="344" t="s">
        <v>90</v>
      </c>
      <c r="B69" s="53">
        <v>1162</v>
      </c>
      <c r="C69" s="54">
        <f>-'Розшифровка фінрезультати'!C69</f>
        <v>-264</v>
      </c>
      <c r="D69" s="54">
        <f>-'Розшифровка фінрезультати'!E69</f>
        <v>-24</v>
      </c>
      <c r="E69" s="54">
        <f>-'Розшифровка фінрезультати'!D69</f>
        <v>-100</v>
      </c>
      <c r="F69" s="54">
        <f>D69</f>
        <v>-24</v>
      </c>
      <c r="G69" s="124">
        <f t="shared" ref="G69:G70" si="18">F69-E69</f>
        <v>76</v>
      </c>
      <c r="H69" s="129"/>
      <c r="I69" s="56"/>
    </row>
    <row r="70" spans="1:9" s="28" customFormat="1" ht="36" customHeight="1">
      <c r="A70" s="326" t="s">
        <v>73</v>
      </c>
      <c r="B70" s="50">
        <v>1170</v>
      </c>
      <c r="C70" s="51">
        <f>SUM(C59,C60,C61,C62,C63,C64,C67)</f>
        <v>-17118.000000000007</v>
      </c>
      <c r="D70" s="51">
        <f>SUM(D59,D60,D61,D62,D63,D64,D67)</f>
        <v>-15756.999999999884</v>
      </c>
      <c r="E70" s="51">
        <f>ROUNDDOWN(SUM(E59,E60,E61,E62,E63,E64,E67),0)</f>
        <v>0</v>
      </c>
      <c r="F70" s="51">
        <f>SUM(F59,F60,F61,F62,F63,F64,F67)</f>
        <v>-15756.999999999884</v>
      </c>
      <c r="G70" s="127">
        <f t="shared" si="18"/>
        <v>-15756.999999999884</v>
      </c>
      <c r="H70" s="130"/>
      <c r="I70" s="56"/>
    </row>
    <row r="71" spans="1:9" s="28" customFormat="1" ht="39" customHeight="1">
      <c r="A71" s="344" t="s">
        <v>197</v>
      </c>
      <c r="B71" s="53">
        <v>1180</v>
      </c>
      <c r="C71" s="54" t="s">
        <v>185</v>
      </c>
      <c r="D71" s="54" t="s">
        <v>185</v>
      </c>
      <c r="E71" s="54" t="s">
        <v>185</v>
      </c>
      <c r="F71" s="54" t="s">
        <v>185</v>
      </c>
      <c r="G71" s="124"/>
      <c r="H71" s="129"/>
      <c r="I71" s="56"/>
    </row>
    <row r="72" spans="1:9" s="28" customFormat="1" ht="39" customHeight="1">
      <c r="A72" s="344" t="s">
        <v>198</v>
      </c>
      <c r="B72" s="53">
        <v>1181</v>
      </c>
      <c r="C72" s="54"/>
      <c r="D72" s="54"/>
      <c r="E72" s="54"/>
      <c r="F72" s="54"/>
      <c r="G72" s="124"/>
      <c r="H72" s="129"/>
      <c r="I72" s="56"/>
    </row>
    <row r="73" spans="1:9" s="28" customFormat="1" ht="39" customHeight="1">
      <c r="A73" s="344" t="s">
        <v>199</v>
      </c>
      <c r="B73" s="53">
        <v>1190</v>
      </c>
      <c r="C73" s="54"/>
      <c r="D73" s="54"/>
      <c r="E73" s="54"/>
      <c r="F73" s="54"/>
      <c r="G73" s="124"/>
      <c r="H73" s="129"/>
      <c r="I73" s="56"/>
    </row>
    <row r="74" spans="1:9" s="28" customFormat="1" ht="39" customHeight="1">
      <c r="A74" s="344" t="s">
        <v>200</v>
      </c>
      <c r="B74" s="53">
        <v>1191</v>
      </c>
      <c r="C74" s="54" t="s">
        <v>185</v>
      </c>
      <c r="D74" s="54" t="s">
        <v>185</v>
      </c>
      <c r="E74" s="54" t="s">
        <v>185</v>
      </c>
      <c r="F74" s="54" t="s">
        <v>185</v>
      </c>
      <c r="G74" s="124"/>
      <c r="H74" s="129"/>
      <c r="I74" s="56"/>
    </row>
    <row r="75" spans="1:9" s="28" customFormat="1" ht="38.25" customHeight="1">
      <c r="A75" s="93" t="s">
        <v>221</v>
      </c>
      <c r="B75" s="94">
        <v>1200</v>
      </c>
      <c r="C75" s="368">
        <f>SUM(C70,C71,C72,C73,C74)</f>
        <v>-17118.000000000007</v>
      </c>
      <c r="D75" s="368">
        <f>SUM(D70,D71,D72,D73,D74)</f>
        <v>-15756.999999999884</v>
      </c>
      <c r="E75" s="368">
        <f>SUM(E70,E71,E72,E73,E74)</f>
        <v>0</v>
      </c>
      <c r="F75" s="368">
        <f>SUM(F70,F71,F72,F73,F74)</f>
        <v>-15756.999999999884</v>
      </c>
      <c r="G75" s="137">
        <f>F75-E75</f>
        <v>-15756.999999999884</v>
      </c>
      <c r="H75" s="134"/>
      <c r="I75" s="93"/>
    </row>
    <row r="76" spans="1:9" s="28" customFormat="1" ht="39" customHeight="1">
      <c r="A76" s="344" t="s">
        <v>24</v>
      </c>
      <c r="B76" s="53">
        <v>1201</v>
      </c>
      <c r="C76" s="54"/>
      <c r="D76" s="54"/>
      <c r="E76" s="54"/>
      <c r="F76" s="54"/>
      <c r="G76" s="190">
        <f t="shared" ref="G76" si="19">F76-E76</f>
        <v>0</v>
      </c>
      <c r="H76" s="153"/>
      <c r="I76" s="56"/>
    </row>
    <row r="77" spans="1:9" s="28" customFormat="1" ht="39" customHeight="1">
      <c r="A77" s="344" t="s">
        <v>25</v>
      </c>
      <c r="B77" s="53">
        <v>1202</v>
      </c>
      <c r="C77" s="54">
        <v>-17118</v>
      </c>
      <c r="D77" s="54" t="s">
        <v>185</v>
      </c>
      <c r="E77" s="54" t="s">
        <v>185</v>
      </c>
      <c r="F77" s="54" t="s">
        <v>185</v>
      </c>
      <c r="G77" s="124"/>
      <c r="H77" s="129"/>
      <c r="I77" s="56"/>
    </row>
    <row r="78" spans="1:9" s="28" customFormat="1" ht="38.25" customHeight="1">
      <c r="A78" s="93" t="s">
        <v>19</v>
      </c>
      <c r="B78" s="94">
        <v>1210</v>
      </c>
      <c r="C78" s="51">
        <f>SUM(C8,C48,C60,C62,C64,C72,C73)</f>
        <v>539617</v>
      </c>
      <c r="D78" s="51">
        <f>SUM(D8,D48,D60,D62,D64,D72,D73)</f>
        <v>623460</v>
      </c>
      <c r="E78" s="51">
        <f>ROUNDDOWN(SUM(E8,E48,E60,E62,E64,E72,E73),0)</f>
        <v>868800</v>
      </c>
      <c r="F78" s="51">
        <f>SUM(F8,F48,F60,F62,F64,F72,F73)</f>
        <v>623460</v>
      </c>
      <c r="G78" s="127">
        <f>F78-E78</f>
        <v>-245340</v>
      </c>
      <c r="H78" s="138">
        <f>(F78/E78)*100</f>
        <v>71.761049723756912</v>
      </c>
      <c r="I78" s="93"/>
    </row>
    <row r="79" spans="1:9" s="28" customFormat="1" ht="39.75" customHeight="1">
      <c r="A79" s="93" t="s">
        <v>88</v>
      </c>
      <c r="B79" s="94">
        <v>1220</v>
      </c>
      <c r="C79" s="368">
        <f>SUM(C9,C19,C40,C52,C61,C63,C67,C71,C74)</f>
        <v>-556735</v>
      </c>
      <c r="D79" s="368">
        <f>SUM(D9,D19,D40,D52,D61,D63,D67,D71,D74)</f>
        <v>-639216.99999999988</v>
      </c>
      <c r="E79" s="368">
        <f>ROUNDUP(SUM(E9,E19,E40,E52,E61,E63,E67,E71,E74),0)</f>
        <v>-868800</v>
      </c>
      <c r="F79" s="368">
        <f>SUM(F9,F19,F40,F52,F61,F63,F67,F71,F74)</f>
        <v>-639216.99999999988</v>
      </c>
      <c r="G79" s="127">
        <f>F79-E79</f>
        <v>229583.00000000012</v>
      </c>
      <c r="H79" s="138">
        <f>(F79/E79)*100</f>
        <v>73.574700736648239</v>
      </c>
      <c r="I79" s="93"/>
    </row>
    <row r="80" spans="1:9" s="28" customFormat="1" ht="39" customHeight="1">
      <c r="A80" s="344" t="s">
        <v>143</v>
      </c>
      <c r="B80" s="53">
        <v>1230</v>
      </c>
      <c r="C80" s="54"/>
      <c r="D80" s="54"/>
      <c r="E80" s="54"/>
      <c r="F80" s="54"/>
      <c r="G80" s="97">
        <f>F80-E80</f>
        <v>0</v>
      </c>
      <c r="H80" s="98" t="e">
        <f t="shared" ref="H80:H88" si="20">(F80/E80)*100</f>
        <v>#DIV/0!</v>
      </c>
      <c r="I80" s="56"/>
    </row>
    <row r="81" spans="1:9" s="28" customFormat="1" ht="36.75" customHeight="1">
      <c r="A81" s="93" t="s">
        <v>106</v>
      </c>
      <c r="B81" s="93"/>
      <c r="C81" s="93"/>
      <c r="D81" s="93"/>
      <c r="E81" s="93"/>
      <c r="F81" s="93"/>
      <c r="G81" s="99"/>
      <c r="H81" s="99"/>
      <c r="I81" s="93"/>
    </row>
    <row r="82" spans="1:9" s="28" customFormat="1" ht="39" customHeight="1">
      <c r="A82" s="344" t="s">
        <v>152</v>
      </c>
      <c r="B82" s="53">
        <v>1300</v>
      </c>
      <c r="C82" s="54">
        <f>C59</f>
        <v>-20955.000000000007</v>
      </c>
      <c r="D82" s="54">
        <f>D59</f>
        <v>-18173.999999999884</v>
      </c>
      <c r="E82" s="54">
        <f>E59</f>
        <v>-1762</v>
      </c>
      <c r="F82" s="54">
        <f>F59</f>
        <v>-18173.999999999884</v>
      </c>
      <c r="G82" s="124">
        <f>F82-E82</f>
        <v>-16411.999999999884</v>
      </c>
      <c r="H82" s="129">
        <f>(F82/E82)*100</f>
        <v>1031.4415437003338</v>
      </c>
      <c r="I82" s="56"/>
    </row>
    <row r="83" spans="1:9" s="28" customFormat="1" ht="39" customHeight="1">
      <c r="A83" s="344" t="s">
        <v>271</v>
      </c>
      <c r="B83" s="53">
        <v>1301</v>
      </c>
      <c r="C83" s="54">
        <f>C93</f>
        <v>25265</v>
      </c>
      <c r="D83" s="54">
        <f>D93</f>
        <v>29002</v>
      </c>
      <c r="E83" s="54">
        <f>E93</f>
        <v>25063</v>
      </c>
      <c r="F83" s="54">
        <f>D83</f>
        <v>29002</v>
      </c>
      <c r="G83" s="124">
        <f>F83-E83</f>
        <v>3939</v>
      </c>
      <c r="H83" s="129">
        <f>(F83/E83)*100</f>
        <v>115.71639468539281</v>
      </c>
      <c r="I83" s="56"/>
    </row>
    <row r="84" spans="1:9" s="28" customFormat="1" ht="39" customHeight="1">
      <c r="A84" s="344" t="s">
        <v>272</v>
      </c>
      <c r="B84" s="53">
        <v>1302</v>
      </c>
      <c r="C84" s="124">
        <f>C49</f>
        <v>0</v>
      </c>
      <c r="D84" s="124">
        <f>D49</f>
        <v>0</v>
      </c>
      <c r="E84" s="124">
        <f>E49</f>
        <v>0</v>
      </c>
      <c r="F84" s="124">
        <f>F49</f>
        <v>0</v>
      </c>
      <c r="G84" s="124"/>
      <c r="H84" s="129"/>
      <c r="I84" s="56"/>
    </row>
    <row r="85" spans="1:9" s="28" customFormat="1" ht="39" customHeight="1">
      <c r="A85" s="344" t="s">
        <v>273</v>
      </c>
      <c r="B85" s="53">
        <v>1303</v>
      </c>
      <c r="C85" s="124" t="str">
        <f>C53</f>
        <v>(    )</v>
      </c>
      <c r="D85" s="124" t="str">
        <f>D53</f>
        <v>(    )</v>
      </c>
      <c r="E85" s="124" t="str">
        <f>E53</f>
        <v>(    )</v>
      </c>
      <c r="F85" s="124" t="str">
        <f>F53</f>
        <v>(    )</v>
      </c>
      <c r="G85" s="124"/>
      <c r="H85" s="129"/>
      <c r="I85" s="56"/>
    </row>
    <row r="86" spans="1:9" s="28" customFormat="1" ht="39" customHeight="1">
      <c r="A86" s="344" t="s">
        <v>274</v>
      </c>
      <c r="B86" s="53">
        <v>1304</v>
      </c>
      <c r="C86" s="124">
        <f>C50</f>
        <v>0</v>
      </c>
      <c r="D86" s="124">
        <f>D50</f>
        <v>0</v>
      </c>
      <c r="E86" s="124">
        <f>E50</f>
        <v>0</v>
      </c>
      <c r="F86" s="124">
        <f>F50</f>
        <v>0</v>
      </c>
      <c r="G86" s="124"/>
      <c r="H86" s="129"/>
      <c r="I86" s="56"/>
    </row>
    <row r="87" spans="1:9" s="28" customFormat="1" ht="39" customHeight="1">
      <c r="A87" s="344" t="s">
        <v>275</v>
      </c>
      <c r="B87" s="53">
        <v>1305</v>
      </c>
      <c r="C87" s="54" t="str">
        <f>C54</f>
        <v>(    )</v>
      </c>
      <c r="D87" s="54" t="str">
        <f>D54</f>
        <v>(    )</v>
      </c>
      <c r="E87" s="54" t="str">
        <f>E54</f>
        <v>(    )</v>
      </c>
      <c r="F87" s="54" t="str">
        <f>F54</f>
        <v>(    )</v>
      </c>
      <c r="G87" s="97" t="e">
        <f t="shared" ref="G87" si="21">F87-E87</f>
        <v>#VALUE!</v>
      </c>
      <c r="H87" s="98" t="e">
        <f t="shared" si="20"/>
        <v>#VALUE!</v>
      </c>
      <c r="I87" s="56"/>
    </row>
    <row r="88" spans="1:9" s="28" customFormat="1" ht="27.75" customHeight="1">
      <c r="A88" s="93" t="s">
        <v>100</v>
      </c>
      <c r="B88" s="94">
        <v>1310</v>
      </c>
      <c r="C88" s="137">
        <f>C82+C83</f>
        <v>4309.9999999999927</v>
      </c>
      <c r="D88" s="137">
        <f t="shared" ref="D88" si="22">D82+D83</f>
        <v>10828.000000000116</v>
      </c>
      <c r="E88" s="137">
        <f>E82+E83</f>
        <v>23301</v>
      </c>
      <c r="F88" s="137">
        <f>F82+F83</f>
        <v>10828.000000000116</v>
      </c>
      <c r="G88" s="137">
        <f>F88-E88</f>
        <v>-12472.999999999884</v>
      </c>
      <c r="H88" s="134">
        <f t="shared" si="20"/>
        <v>46.470108579031447</v>
      </c>
      <c r="I88" s="93"/>
    </row>
    <row r="89" spans="1:9" s="28" customFormat="1" ht="30" customHeight="1">
      <c r="A89" s="344" t="s">
        <v>134</v>
      </c>
      <c r="B89" s="53"/>
      <c r="C89" s="54"/>
      <c r="D89" s="54"/>
      <c r="E89" s="54"/>
      <c r="F89" s="54"/>
      <c r="G89" s="54"/>
      <c r="H89" s="55"/>
      <c r="I89" s="56"/>
    </row>
    <row r="90" spans="1:9" s="28" customFormat="1" ht="30" customHeight="1">
      <c r="A90" s="344" t="s">
        <v>421</v>
      </c>
      <c r="B90" s="53">
        <v>1400</v>
      </c>
      <c r="C90" s="54">
        <v>152153</v>
      </c>
      <c r="D90" s="54">
        <v>206057</v>
      </c>
      <c r="E90" s="54">
        <v>338962</v>
      </c>
      <c r="F90" s="54">
        <f>D90</f>
        <v>206057</v>
      </c>
      <c r="G90" s="124">
        <f>F90-E90</f>
        <v>-132905</v>
      </c>
      <c r="H90" s="129">
        <f>(F90/E90)*100</f>
        <v>60.790590095644937</v>
      </c>
      <c r="I90" s="56"/>
    </row>
    <row r="91" spans="1:9" s="28" customFormat="1" ht="28.5" customHeight="1">
      <c r="A91" s="344" t="s">
        <v>5</v>
      </c>
      <c r="B91" s="53">
        <v>1410</v>
      </c>
      <c r="C91" s="54">
        <v>260418</v>
      </c>
      <c r="D91" s="54">
        <v>295481</v>
      </c>
      <c r="E91" s="54">
        <v>335389</v>
      </c>
      <c r="F91" s="54">
        <f t="shared" ref="F91:F94" si="23">D91</f>
        <v>295481</v>
      </c>
      <c r="G91" s="124">
        <f t="shared" ref="G91:G94" si="24">F91-E91</f>
        <v>-39908</v>
      </c>
      <c r="H91" s="129">
        <f t="shared" ref="H91:H95" si="25">(F91/E91)*100</f>
        <v>88.100981248639641</v>
      </c>
      <c r="I91" s="56"/>
    </row>
    <row r="92" spans="1:9" s="28" customFormat="1" ht="28.5" customHeight="1">
      <c r="A92" s="344" t="s">
        <v>6</v>
      </c>
      <c r="B92" s="53">
        <v>1420</v>
      </c>
      <c r="C92" s="54">
        <v>60784</v>
      </c>
      <c r="D92" s="54">
        <v>68406</v>
      </c>
      <c r="E92" s="54">
        <v>78902</v>
      </c>
      <c r="F92" s="54">
        <f t="shared" si="23"/>
        <v>68406</v>
      </c>
      <c r="G92" s="124">
        <f t="shared" si="24"/>
        <v>-10496</v>
      </c>
      <c r="H92" s="129">
        <f t="shared" si="25"/>
        <v>86.697422118577478</v>
      </c>
      <c r="I92" s="56"/>
    </row>
    <row r="93" spans="1:9" s="28" customFormat="1" ht="27" customHeight="1">
      <c r="A93" s="344" t="s">
        <v>7</v>
      </c>
      <c r="B93" s="53">
        <v>1430</v>
      </c>
      <c r="C93" s="54">
        <v>25265</v>
      </c>
      <c r="D93" s="54">
        <v>29002</v>
      </c>
      <c r="E93" s="54">
        <v>25063</v>
      </c>
      <c r="F93" s="54">
        <f t="shared" si="23"/>
        <v>29002</v>
      </c>
      <c r="G93" s="124">
        <f t="shared" si="24"/>
        <v>3939</v>
      </c>
      <c r="H93" s="129">
        <f t="shared" si="25"/>
        <v>115.71639468539281</v>
      </c>
      <c r="I93" s="56"/>
    </row>
    <row r="94" spans="1:9" s="28" customFormat="1" ht="25.5" customHeight="1">
      <c r="A94" s="344" t="s">
        <v>27</v>
      </c>
      <c r="B94" s="53">
        <v>1440</v>
      </c>
      <c r="C94" s="54">
        <v>55549</v>
      </c>
      <c r="D94" s="54">
        <v>35985</v>
      </c>
      <c r="E94" s="54">
        <v>86985</v>
      </c>
      <c r="F94" s="54">
        <f t="shared" si="23"/>
        <v>35985</v>
      </c>
      <c r="G94" s="124">
        <f t="shared" si="24"/>
        <v>-51000</v>
      </c>
      <c r="H94" s="129">
        <f t="shared" si="25"/>
        <v>41.369201586480422</v>
      </c>
      <c r="I94" s="56"/>
    </row>
    <row r="95" spans="1:9" s="28" customFormat="1" ht="27.75" customHeight="1">
      <c r="A95" s="93" t="s">
        <v>49</v>
      </c>
      <c r="B95" s="349">
        <v>1450</v>
      </c>
      <c r="C95" s="371">
        <f>SUM(C90,C91:C94)</f>
        <v>554169</v>
      </c>
      <c r="D95" s="371">
        <f>SUM(D90,D91:D94)</f>
        <v>634931</v>
      </c>
      <c r="E95" s="371">
        <f>SUM(E90,E91:E94)</f>
        <v>865301</v>
      </c>
      <c r="F95" s="371">
        <f>SUM(F90,F91:F94)</f>
        <v>634931</v>
      </c>
      <c r="G95" s="309">
        <f>F95-E95</f>
        <v>-230370</v>
      </c>
      <c r="H95" s="130">
        <f t="shared" si="25"/>
        <v>73.376894283029841</v>
      </c>
      <c r="I95" s="93"/>
    </row>
    <row r="96" spans="1:9" s="28" customFormat="1" ht="20.399999999999999">
      <c r="A96" s="57"/>
      <c r="B96" s="58"/>
      <c r="C96" s="58"/>
      <c r="D96" s="58"/>
      <c r="E96" s="58"/>
      <c r="F96" s="58"/>
      <c r="G96" s="58"/>
      <c r="H96" s="58"/>
      <c r="I96" s="58"/>
    </row>
    <row r="97" spans="1:9" ht="54" customHeight="1">
      <c r="A97" s="378" t="s">
        <v>554</v>
      </c>
      <c r="B97" s="248"/>
      <c r="C97" s="454"/>
      <c r="D97" s="454"/>
      <c r="E97" s="249"/>
      <c r="F97" s="455" t="s">
        <v>555</v>
      </c>
      <c r="G97" s="455"/>
      <c r="H97" s="96"/>
      <c r="I97" s="170"/>
    </row>
    <row r="98" spans="1:9" s="347" customFormat="1" ht="15.6" hidden="1" customHeight="1">
      <c r="A98" s="171" t="s">
        <v>360</v>
      </c>
      <c r="B98" s="170"/>
      <c r="C98" s="444" t="s">
        <v>556</v>
      </c>
      <c r="D98" s="444"/>
      <c r="E98" s="170"/>
      <c r="F98" s="445" t="s">
        <v>76</v>
      </c>
      <c r="G98" s="445"/>
    </row>
    <row r="99" spans="1:9">
      <c r="A99" s="11"/>
    </row>
    <row r="100" spans="1:9">
      <c r="A100" s="11"/>
    </row>
    <row r="101" spans="1:9">
      <c r="A101" s="11"/>
    </row>
    <row r="102" spans="1:9">
      <c r="A102" s="11"/>
    </row>
    <row r="103" spans="1:9">
      <c r="A103" s="11"/>
    </row>
    <row r="104" spans="1:9">
      <c r="A104" s="11"/>
    </row>
    <row r="105" spans="1:9">
      <c r="A105" s="11"/>
    </row>
    <row r="106" spans="1:9">
      <c r="A106" s="11"/>
    </row>
    <row r="107" spans="1:9">
      <c r="A107" s="11"/>
    </row>
    <row r="108" spans="1:9">
      <c r="A108" s="11"/>
    </row>
    <row r="109" spans="1:9">
      <c r="A109" s="11"/>
    </row>
    <row r="110" spans="1:9">
      <c r="A110" s="11"/>
    </row>
    <row r="111" spans="1:9">
      <c r="A111" s="11"/>
    </row>
    <row r="112" spans="1:9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81"/>
    </row>
    <row r="158" spans="1:1">
      <c r="A158" s="181"/>
    </row>
    <row r="159" spans="1:1">
      <c r="A159" s="181"/>
    </row>
    <row r="160" spans="1:1">
      <c r="A160" s="181"/>
    </row>
    <row r="161" spans="1:1">
      <c r="A161" s="181"/>
    </row>
    <row r="162" spans="1:1">
      <c r="A162" s="181"/>
    </row>
    <row r="163" spans="1:1">
      <c r="A163" s="181"/>
    </row>
    <row r="164" spans="1:1">
      <c r="A164" s="181"/>
    </row>
    <row r="165" spans="1:1">
      <c r="A165" s="181"/>
    </row>
    <row r="166" spans="1:1">
      <c r="A166" s="181"/>
    </row>
    <row r="167" spans="1:1">
      <c r="A167" s="181"/>
    </row>
    <row r="168" spans="1:1">
      <c r="A168" s="181"/>
    </row>
    <row r="169" spans="1:1">
      <c r="A169" s="181"/>
    </row>
    <row r="170" spans="1:1">
      <c r="A170" s="181"/>
    </row>
    <row r="171" spans="1:1">
      <c r="A171" s="181"/>
    </row>
    <row r="172" spans="1:1">
      <c r="A172" s="181"/>
    </row>
    <row r="173" spans="1:1">
      <c r="A173" s="181"/>
    </row>
    <row r="174" spans="1:1">
      <c r="A174" s="181"/>
    </row>
    <row r="175" spans="1:1">
      <c r="A175" s="181"/>
    </row>
    <row r="176" spans="1:1">
      <c r="A176" s="181"/>
    </row>
    <row r="177" spans="1:1">
      <c r="A177" s="181"/>
    </row>
    <row r="178" spans="1:1">
      <c r="A178" s="181"/>
    </row>
    <row r="179" spans="1:1">
      <c r="A179" s="181"/>
    </row>
    <row r="180" spans="1:1">
      <c r="A180" s="181"/>
    </row>
    <row r="181" spans="1:1">
      <c r="A181" s="181"/>
    </row>
    <row r="182" spans="1:1">
      <c r="A182" s="181"/>
    </row>
    <row r="183" spans="1:1">
      <c r="A183" s="181"/>
    </row>
    <row r="184" spans="1:1">
      <c r="A184" s="181"/>
    </row>
    <row r="185" spans="1:1">
      <c r="A185" s="181"/>
    </row>
    <row r="186" spans="1:1">
      <c r="A186" s="181"/>
    </row>
    <row r="187" spans="1:1">
      <c r="A187" s="181"/>
    </row>
    <row r="188" spans="1:1">
      <c r="A188" s="181"/>
    </row>
    <row r="189" spans="1:1">
      <c r="A189" s="181"/>
    </row>
    <row r="190" spans="1:1">
      <c r="A190" s="181"/>
    </row>
    <row r="191" spans="1:1">
      <c r="A191" s="181"/>
    </row>
    <row r="192" spans="1:1">
      <c r="A192" s="181"/>
    </row>
    <row r="193" spans="1:1">
      <c r="A193" s="181"/>
    </row>
    <row r="194" spans="1:1">
      <c r="A194" s="181"/>
    </row>
    <row r="195" spans="1:1">
      <c r="A195" s="181"/>
    </row>
    <row r="196" spans="1:1">
      <c r="A196" s="181"/>
    </row>
    <row r="197" spans="1:1">
      <c r="A197" s="181"/>
    </row>
    <row r="198" spans="1:1">
      <c r="A198" s="181"/>
    </row>
    <row r="199" spans="1:1">
      <c r="A199" s="181"/>
    </row>
    <row r="200" spans="1:1">
      <c r="A200" s="181"/>
    </row>
    <row r="201" spans="1:1">
      <c r="A201" s="181"/>
    </row>
    <row r="202" spans="1:1">
      <c r="A202" s="181"/>
    </row>
    <row r="203" spans="1:1">
      <c r="A203" s="181"/>
    </row>
    <row r="204" spans="1:1">
      <c r="A204" s="181"/>
    </row>
    <row r="205" spans="1:1">
      <c r="A205" s="181"/>
    </row>
    <row r="206" spans="1:1">
      <c r="A206" s="181"/>
    </row>
    <row r="207" spans="1:1">
      <c r="A207" s="181"/>
    </row>
    <row r="208" spans="1:1">
      <c r="A208" s="181"/>
    </row>
    <row r="209" spans="1:1">
      <c r="A209" s="181"/>
    </row>
    <row r="210" spans="1:1">
      <c r="A210" s="181"/>
    </row>
    <row r="211" spans="1:1">
      <c r="A211" s="181"/>
    </row>
    <row r="212" spans="1:1">
      <c r="A212" s="181"/>
    </row>
    <row r="213" spans="1:1">
      <c r="A213" s="181"/>
    </row>
    <row r="214" spans="1:1">
      <c r="A214" s="181"/>
    </row>
    <row r="215" spans="1:1">
      <c r="A215" s="181"/>
    </row>
    <row r="216" spans="1:1">
      <c r="A216" s="181"/>
    </row>
    <row r="217" spans="1:1">
      <c r="A217" s="181"/>
    </row>
    <row r="218" spans="1:1">
      <c r="A218" s="181"/>
    </row>
    <row r="219" spans="1:1">
      <c r="A219" s="181"/>
    </row>
    <row r="220" spans="1:1">
      <c r="A220" s="181"/>
    </row>
    <row r="221" spans="1:1">
      <c r="A221" s="181"/>
    </row>
    <row r="222" spans="1:1">
      <c r="A222" s="181"/>
    </row>
    <row r="223" spans="1:1">
      <c r="A223" s="181"/>
    </row>
    <row r="224" spans="1:1">
      <c r="A224" s="181"/>
    </row>
    <row r="225" spans="1:1">
      <c r="A225" s="181"/>
    </row>
    <row r="226" spans="1:1">
      <c r="A226" s="181"/>
    </row>
    <row r="227" spans="1:1">
      <c r="A227" s="181"/>
    </row>
    <row r="228" spans="1:1">
      <c r="A228" s="181"/>
    </row>
    <row r="229" spans="1:1">
      <c r="A229" s="181"/>
    </row>
    <row r="230" spans="1:1">
      <c r="A230" s="181"/>
    </row>
    <row r="231" spans="1:1">
      <c r="A231" s="181"/>
    </row>
    <row r="232" spans="1:1">
      <c r="A232" s="181"/>
    </row>
    <row r="233" spans="1:1">
      <c r="A233" s="181"/>
    </row>
    <row r="234" spans="1:1">
      <c r="A234" s="181"/>
    </row>
    <row r="235" spans="1:1">
      <c r="A235" s="181"/>
    </row>
    <row r="236" spans="1:1">
      <c r="A236" s="181"/>
    </row>
    <row r="237" spans="1:1">
      <c r="A237" s="181"/>
    </row>
    <row r="238" spans="1:1">
      <c r="A238" s="181"/>
    </row>
    <row r="239" spans="1:1">
      <c r="A239" s="181"/>
    </row>
    <row r="240" spans="1:1">
      <c r="A240" s="181"/>
    </row>
    <row r="241" spans="1:1">
      <c r="A241" s="181"/>
    </row>
    <row r="242" spans="1:1">
      <c r="A242" s="181"/>
    </row>
    <row r="243" spans="1:1">
      <c r="A243" s="181"/>
    </row>
    <row r="244" spans="1:1">
      <c r="A244" s="181"/>
    </row>
    <row r="245" spans="1:1">
      <c r="A245" s="181"/>
    </row>
    <row r="246" spans="1:1">
      <c r="A246" s="181"/>
    </row>
    <row r="247" spans="1:1">
      <c r="A247" s="181"/>
    </row>
    <row r="248" spans="1:1">
      <c r="A248" s="181"/>
    </row>
    <row r="249" spans="1:1">
      <c r="A249" s="181"/>
    </row>
    <row r="250" spans="1:1">
      <c r="A250" s="181"/>
    </row>
    <row r="251" spans="1:1">
      <c r="A251" s="181"/>
    </row>
    <row r="252" spans="1:1">
      <c r="A252" s="181"/>
    </row>
    <row r="253" spans="1:1">
      <c r="A253" s="181"/>
    </row>
    <row r="254" spans="1:1">
      <c r="A254" s="181"/>
    </row>
    <row r="255" spans="1:1">
      <c r="A255" s="181"/>
    </row>
    <row r="256" spans="1:1">
      <c r="A256" s="181"/>
    </row>
    <row r="257" spans="1:1">
      <c r="A257" s="181"/>
    </row>
    <row r="258" spans="1:1">
      <c r="A258" s="181"/>
    </row>
    <row r="259" spans="1:1">
      <c r="A259" s="181"/>
    </row>
    <row r="260" spans="1:1">
      <c r="A260" s="181"/>
    </row>
    <row r="261" spans="1:1">
      <c r="A261" s="181"/>
    </row>
    <row r="262" spans="1:1">
      <c r="A262" s="181"/>
    </row>
    <row r="263" spans="1:1">
      <c r="A263" s="181"/>
    </row>
    <row r="264" spans="1:1">
      <c r="A264" s="181"/>
    </row>
    <row r="265" spans="1:1">
      <c r="A265" s="181"/>
    </row>
    <row r="266" spans="1:1">
      <c r="A266" s="181"/>
    </row>
    <row r="267" spans="1:1">
      <c r="A267" s="181"/>
    </row>
    <row r="268" spans="1:1">
      <c r="A268" s="181"/>
    </row>
    <row r="269" spans="1:1">
      <c r="A269" s="181"/>
    </row>
    <row r="270" spans="1:1">
      <c r="A270" s="181"/>
    </row>
    <row r="271" spans="1:1">
      <c r="A271" s="181"/>
    </row>
    <row r="272" spans="1:1">
      <c r="A272" s="181"/>
    </row>
    <row r="273" spans="1:1">
      <c r="A273" s="181"/>
    </row>
    <row r="274" spans="1:1">
      <c r="A274" s="181"/>
    </row>
    <row r="275" spans="1:1">
      <c r="A275" s="181"/>
    </row>
    <row r="276" spans="1:1">
      <c r="A276" s="181"/>
    </row>
    <row r="277" spans="1:1">
      <c r="A277" s="181"/>
    </row>
    <row r="278" spans="1:1">
      <c r="A278" s="181"/>
    </row>
    <row r="279" spans="1:1">
      <c r="A279" s="181"/>
    </row>
    <row r="280" spans="1:1">
      <c r="A280" s="181"/>
    </row>
    <row r="281" spans="1:1">
      <c r="A281" s="181"/>
    </row>
    <row r="282" spans="1:1">
      <c r="A282" s="181"/>
    </row>
    <row r="283" spans="1:1">
      <c r="A283" s="181"/>
    </row>
    <row r="284" spans="1:1">
      <c r="A284" s="181"/>
    </row>
    <row r="285" spans="1:1">
      <c r="A285" s="181"/>
    </row>
    <row r="286" spans="1:1">
      <c r="A286" s="181"/>
    </row>
    <row r="287" spans="1:1">
      <c r="A287" s="181"/>
    </row>
    <row r="288" spans="1:1">
      <c r="A288" s="181"/>
    </row>
    <row r="289" spans="1:1">
      <c r="A289" s="181"/>
    </row>
    <row r="290" spans="1:1">
      <c r="A290" s="181"/>
    </row>
    <row r="291" spans="1:1">
      <c r="A291" s="181"/>
    </row>
    <row r="292" spans="1:1">
      <c r="A292" s="181"/>
    </row>
    <row r="293" spans="1:1">
      <c r="A293" s="181"/>
    </row>
    <row r="294" spans="1:1">
      <c r="A294" s="181"/>
    </row>
    <row r="295" spans="1:1">
      <c r="A295" s="181"/>
    </row>
    <row r="296" spans="1:1">
      <c r="A296" s="181"/>
    </row>
    <row r="297" spans="1:1">
      <c r="A297" s="181"/>
    </row>
    <row r="298" spans="1:1">
      <c r="A298" s="181"/>
    </row>
    <row r="299" spans="1:1">
      <c r="A299" s="181"/>
    </row>
    <row r="300" spans="1:1">
      <c r="A300" s="181"/>
    </row>
    <row r="301" spans="1:1">
      <c r="A301" s="181"/>
    </row>
    <row r="302" spans="1:1">
      <c r="A302" s="181"/>
    </row>
    <row r="303" spans="1:1">
      <c r="A303" s="181"/>
    </row>
    <row r="304" spans="1:1">
      <c r="A304" s="181"/>
    </row>
    <row r="305" spans="1:1">
      <c r="A305" s="181"/>
    </row>
    <row r="306" spans="1:1">
      <c r="A306" s="181"/>
    </row>
    <row r="307" spans="1:1">
      <c r="A307" s="181"/>
    </row>
    <row r="308" spans="1:1">
      <c r="A308" s="181"/>
    </row>
    <row r="309" spans="1:1">
      <c r="A309" s="181"/>
    </row>
    <row r="310" spans="1:1">
      <c r="A310" s="181"/>
    </row>
    <row r="311" spans="1:1">
      <c r="A311" s="181"/>
    </row>
    <row r="312" spans="1:1">
      <c r="A312" s="181"/>
    </row>
    <row r="313" spans="1:1">
      <c r="A313" s="181"/>
    </row>
    <row r="314" spans="1:1">
      <c r="A314" s="181"/>
    </row>
    <row r="315" spans="1:1">
      <c r="A315" s="181"/>
    </row>
    <row r="316" spans="1:1">
      <c r="A316" s="181"/>
    </row>
    <row r="317" spans="1:1">
      <c r="A317" s="181"/>
    </row>
    <row r="318" spans="1:1">
      <c r="A318" s="181"/>
    </row>
    <row r="319" spans="1:1">
      <c r="A319" s="181"/>
    </row>
    <row r="320" spans="1:1">
      <c r="A320" s="181"/>
    </row>
    <row r="321" spans="1:1">
      <c r="A321" s="181"/>
    </row>
    <row r="322" spans="1:1">
      <c r="A322" s="181"/>
    </row>
    <row r="323" spans="1:1">
      <c r="A323" s="181"/>
    </row>
  </sheetData>
  <mergeCells count="10">
    <mergeCell ref="C98:D98"/>
    <mergeCell ref="C97:D97"/>
    <mergeCell ref="A2:I2"/>
    <mergeCell ref="C4:D4"/>
    <mergeCell ref="E4:I4"/>
    <mergeCell ref="B4:B5"/>
    <mergeCell ref="A4:A5"/>
    <mergeCell ref="A7:I7"/>
    <mergeCell ref="F97:G97"/>
    <mergeCell ref="F98:G98"/>
  </mergeCells>
  <phoneticPr fontId="0" type="noConversion"/>
  <pageMargins left="0.59055118110236215" right="0.59055118110236215" top="0.98425196850393704" bottom="0.59055118110236215" header="0.31496062992125984" footer="0.19685039370078741"/>
  <pageSetup paperSize="9" scale="50" fitToHeight="0" orientation="landscape" verticalDpi="300" r:id="rId1"/>
  <headerFooter alignWithMargins="0"/>
  <rowBreaks count="2" manualBreakCount="2">
    <brk id="60" max="8" man="1"/>
    <brk id="80" max="8" man="1"/>
  </rowBreaks>
  <ignoredErrors>
    <ignoredError sqref="H88 G87 H87 H32 G32 G41:G42 H48 G65 H66 H80 H6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H247"/>
  <sheetViews>
    <sheetView view="pageBreakPreview" topLeftCell="A61" zoomScale="87" zoomScaleNormal="70" zoomScaleSheetLayoutView="87" workbookViewId="0">
      <selection activeCell="A78" sqref="A78"/>
    </sheetView>
  </sheetViews>
  <sheetFormatPr defaultColWidth="9.109375" defaultRowHeight="18"/>
  <cols>
    <col min="1" max="1" width="58" style="170" customWidth="1"/>
    <col min="2" max="2" width="12.88671875" style="171" customWidth="1"/>
    <col min="3" max="3" width="15.6640625" style="171" customWidth="1"/>
    <col min="4" max="4" width="18" style="171" customWidth="1"/>
    <col min="5" max="5" width="16.6640625" style="171" customWidth="1"/>
    <col min="6" max="7" width="16.33203125" style="171" customWidth="1"/>
    <col min="8" max="9" width="9.109375" style="170"/>
    <col min="10" max="10" width="10.109375" style="170" bestFit="1" customWidth="1"/>
    <col min="11" max="11" width="9.109375" style="170"/>
    <col min="12" max="12" width="10.109375" style="170" bestFit="1" customWidth="1"/>
    <col min="13" max="16384" width="9.109375" style="170"/>
  </cols>
  <sheetData>
    <row r="2" spans="1:7">
      <c r="A2" s="463" t="s">
        <v>404</v>
      </c>
      <c r="B2" s="463"/>
      <c r="C2" s="463"/>
      <c r="D2" s="463"/>
      <c r="E2" s="463"/>
      <c r="F2" s="463"/>
      <c r="G2" s="463"/>
    </row>
    <row r="3" spans="1:7">
      <c r="A3" s="327"/>
      <c r="B3" s="156"/>
      <c r="C3" s="156"/>
      <c r="D3" s="327"/>
      <c r="E3" s="327"/>
      <c r="F3" s="327"/>
      <c r="G3" s="156" t="s">
        <v>366</v>
      </c>
    </row>
    <row r="4" spans="1:7" ht="66.75" customHeight="1">
      <c r="A4" s="162" t="s">
        <v>153</v>
      </c>
      <c r="B4" s="163" t="s">
        <v>18</v>
      </c>
      <c r="C4" s="163" t="s">
        <v>432</v>
      </c>
      <c r="D4" s="163" t="s">
        <v>433</v>
      </c>
      <c r="E4" s="163" t="s">
        <v>434</v>
      </c>
      <c r="F4" s="163" t="s">
        <v>420</v>
      </c>
      <c r="G4" s="164" t="s">
        <v>393</v>
      </c>
    </row>
    <row r="5" spans="1:7" ht="18" customHeight="1">
      <c r="A5" s="48">
        <v>1</v>
      </c>
      <c r="B5" s="346">
        <v>2</v>
      </c>
      <c r="C5" s="346">
        <v>3</v>
      </c>
      <c r="D5" s="346">
        <v>4</v>
      </c>
      <c r="E5" s="346">
        <v>5</v>
      </c>
      <c r="F5" s="346">
        <v>6</v>
      </c>
      <c r="G5" s="346">
        <v>7</v>
      </c>
    </row>
    <row r="6" spans="1:7" ht="18" customHeight="1">
      <c r="A6" s="464" t="s">
        <v>453</v>
      </c>
      <c r="B6" s="465"/>
      <c r="C6" s="465"/>
      <c r="D6" s="465"/>
      <c r="E6" s="465"/>
      <c r="F6" s="465"/>
      <c r="G6" s="466"/>
    </row>
    <row r="7" spans="1:7" ht="58.2" customHeight="1">
      <c r="A7" s="334" t="s">
        <v>454</v>
      </c>
      <c r="B7" s="333" t="s">
        <v>455</v>
      </c>
      <c r="C7" s="229">
        <f>SUM(C8:C26)</f>
        <v>10176.599999999999</v>
      </c>
      <c r="D7" s="229">
        <f t="shared" ref="D7" si="0">SUM(D8:D26)</f>
        <v>7784.3</v>
      </c>
      <c r="E7" s="229">
        <f>SUM(E8:E27)</f>
        <v>12183.7</v>
      </c>
      <c r="F7" s="229">
        <f>E7-D7</f>
        <v>4399.4000000000005</v>
      </c>
      <c r="G7" s="229">
        <f>E7/D7*100</f>
        <v>156.5163213134129</v>
      </c>
    </row>
    <row r="8" spans="1:7" s="28" customFormat="1" ht="20.25" customHeight="1">
      <c r="A8" s="230" t="s">
        <v>456</v>
      </c>
      <c r="B8" s="230"/>
      <c r="C8" s="231">
        <v>24</v>
      </c>
      <c r="D8" s="231">
        <v>70</v>
      </c>
      <c r="E8" s="231">
        <v>28.8</v>
      </c>
      <c r="F8" s="231">
        <f t="shared" ref="F8:F79" si="1">E8-D8</f>
        <v>-41.2</v>
      </c>
      <c r="G8" s="231">
        <f t="shared" ref="G8:G72" si="2">E8/D8*100</f>
        <v>41.142857142857139</v>
      </c>
    </row>
    <row r="9" spans="1:7" s="28" customFormat="1" ht="20.25" customHeight="1">
      <c r="A9" s="230" t="s">
        <v>457</v>
      </c>
      <c r="B9" s="230"/>
      <c r="C9" s="231">
        <v>7905.1</v>
      </c>
      <c r="D9" s="231">
        <v>4964</v>
      </c>
      <c r="E9" s="231">
        <v>8548.4</v>
      </c>
      <c r="F9" s="231">
        <f t="shared" si="1"/>
        <v>3584.3999999999996</v>
      </c>
      <c r="G9" s="231">
        <f t="shared" si="2"/>
        <v>172.20789685737307</v>
      </c>
    </row>
    <row r="10" spans="1:7" s="28" customFormat="1" ht="20.25" customHeight="1">
      <c r="A10" s="230" t="s">
        <v>458</v>
      </c>
      <c r="B10" s="230"/>
      <c r="C10" s="231">
        <v>82.3</v>
      </c>
      <c r="D10" s="231">
        <v>212</v>
      </c>
      <c r="E10" s="231">
        <v>159.69999999999999</v>
      </c>
      <c r="F10" s="231">
        <f t="shared" si="1"/>
        <v>-52.300000000000011</v>
      </c>
      <c r="G10" s="231">
        <f t="shared" si="2"/>
        <v>75.330188679245282</v>
      </c>
    </row>
    <row r="11" spans="1:7" s="28" customFormat="1" ht="20.25" customHeight="1">
      <c r="A11" s="230" t="s">
        <v>459</v>
      </c>
      <c r="B11" s="230"/>
      <c r="C11" s="372">
        <v>283.3</v>
      </c>
      <c r="D11" s="231">
        <v>341</v>
      </c>
      <c r="E11" s="231">
        <v>402.5</v>
      </c>
      <c r="F11" s="231">
        <f t="shared" si="1"/>
        <v>61.5</v>
      </c>
      <c r="G11" s="231">
        <f t="shared" si="2"/>
        <v>118.03519061583579</v>
      </c>
    </row>
    <row r="12" spans="1:7" s="28" customFormat="1" ht="20.25" customHeight="1">
      <c r="A12" s="230" t="s">
        <v>460</v>
      </c>
      <c r="B12" s="230"/>
      <c r="C12" s="231">
        <v>1086.9000000000001</v>
      </c>
      <c r="D12" s="231">
        <v>1211</v>
      </c>
      <c r="E12" s="231">
        <v>2051</v>
      </c>
      <c r="F12" s="231">
        <f t="shared" si="1"/>
        <v>840</v>
      </c>
      <c r="G12" s="231">
        <f t="shared" si="2"/>
        <v>169.364161849711</v>
      </c>
    </row>
    <row r="13" spans="1:7" s="28" customFormat="1" ht="40.5" customHeight="1">
      <c r="A13" s="230" t="s">
        <v>461</v>
      </c>
      <c r="B13" s="230"/>
      <c r="C13" s="372">
        <v>349.9</v>
      </c>
      <c r="D13" s="231">
        <v>360</v>
      </c>
      <c r="E13" s="231">
        <v>322.8</v>
      </c>
      <c r="F13" s="231">
        <f t="shared" si="1"/>
        <v>-37.199999999999989</v>
      </c>
      <c r="G13" s="231">
        <f t="shared" si="2"/>
        <v>89.666666666666671</v>
      </c>
    </row>
    <row r="14" spans="1:7" s="28" customFormat="1" ht="22.2" customHeight="1">
      <c r="A14" s="230" t="s">
        <v>462</v>
      </c>
      <c r="B14" s="230"/>
      <c r="C14" s="231">
        <v>3.4</v>
      </c>
      <c r="D14" s="231">
        <v>8</v>
      </c>
      <c r="E14" s="231">
        <v>92.2</v>
      </c>
      <c r="F14" s="231">
        <f t="shared" si="1"/>
        <v>84.2</v>
      </c>
      <c r="G14" s="231">
        <f t="shared" si="2"/>
        <v>1152.5</v>
      </c>
    </row>
    <row r="15" spans="1:7" s="28" customFormat="1" ht="21.6" customHeight="1">
      <c r="A15" s="230" t="s">
        <v>463</v>
      </c>
      <c r="B15" s="230"/>
      <c r="C15" s="372">
        <v>54.5</v>
      </c>
      <c r="D15" s="231">
        <v>63.3</v>
      </c>
      <c r="E15" s="231">
        <v>60.4</v>
      </c>
      <c r="F15" s="231">
        <f t="shared" si="1"/>
        <v>-2.8999999999999986</v>
      </c>
      <c r="G15" s="231">
        <f t="shared" si="2"/>
        <v>95.418641390205366</v>
      </c>
    </row>
    <row r="16" spans="1:7" ht="22.95" customHeight="1">
      <c r="A16" s="230" t="s">
        <v>464</v>
      </c>
      <c r="B16" s="230"/>
      <c r="C16" s="231">
        <v>10.4</v>
      </c>
      <c r="D16" s="231">
        <v>10</v>
      </c>
      <c r="E16" s="231">
        <v>81.5</v>
      </c>
      <c r="F16" s="231">
        <f t="shared" si="1"/>
        <v>71.5</v>
      </c>
      <c r="G16" s="231">
        <f t="shared" si="2"/>
        <v>815</v>
      </c>
    </row>
    <row r="17" spans="1:8" ht="24.75" customHeight="1">
      <c r="A17" s="232" t="s">
        <v>465</v>
      </c>
      <c r="B17" s="232"/>
      <c r="C17" s="372">
        <v>46.1</v>
      </c>
      <c r="D17" s="231">
        <v>60</v>
      </c>
      <c r="E17" s="231">
        <v>52.7</v>
      </c>
      <c r="F17" s="231">
        <f t="shared" si="1"/>
        <v>-7.2999999999999972</v>
      </c>
      <c r="G17" s="231">
        <f t="shared" si="2"/>
        <v>87.833333333333343</v>
      </c>
      <c r="H17" s="96"/>
    </row>
    <row r="18" spans="1:8">
      <c r="A18" s="232" t="s">
        <v>466</v>
      </c>
      <c r="B18" s="233"/>
      <c r="C18" s="234">
        <v>17.3</v>
      </c>
      <c r="D18" s="231">
        <v>40</v>
      </c>
      <c r="E18" s="231">
        <v>106.7</v>
      </c>
      <c r="F18" s="231">
        <f t="shared" si="1"/>
        <v>66.7</v>
      </c>
      <c r="G18" s="231">
        <f t="shared" si="2"/>
        <v>266.75</v>
      </c>
      <c r="H18" s="347"/>
    </row>
    <row r="19" spans="1:8">
      <c r="A19" s="232" t="s">
        <v>781</v>
      </c>
      <c r="B19" s="233"/>
      <c r="C19" s="231"/>
      <c r="D19" s="231"/>
      <c r="E19" s="231"/>
      <c r="F19" s="231"/>
      <c r="G19" s="231"/>
    </row>
    <row r="20" spans="1:8">
      <c r="A20" s="232" t="s">
        <v>780</v>
      </c>
      <c r="B20" s="233"/>
      <c r="C20" s="234">
        <v>47.4</v>
      </c>
      <c r="D20" s="234">
        <v>35</v>
      </c>
      <c r="E20" s="234">
        <v>39.9</v>
      </c>
      <c r="F20" s="231">
        <f t="shared" si="1"/>
        <v>4.8999999999999986</v>
      </c>
      <c r="G20" s="231">
        <f t="shared" si="2"/>
        <v>113.99999999999999</v>
      </c>
    </row>
    <row r="21" spans="1:8" hidden="1">
      <c r="A21" s="232" t="s">
        <v>467</v>
      </c>
      <c r="B21" s="233"/>
      <c r="C21" s="234"/>
      <c r="D21" s="231"/>
      <c r="E21" s="231"/>
      <c r="F21" s="231"/>
      <c r="G21" s="231"/>
    </row>
    <row r="22" spans="1:8" hidden="1">
      <c r="A22" s="232" t="s">
        <v>468</v>
      </c>
      <c r="B22" s="233"/>
      <c r="C22" s="234"/>
      <c r="D22" s="231"/>
      <c r="E22" s="231"/>
      <c r="F22" s="231"/>
      <c r="G22" s="231"/>
    </row>
    <row r="23" spans="1:8">
      <c r="A23" s="232" t="s">
        <v>469</v>
      </c>
      <c r="B23" s="233"/>
      <c r="C23" s="234"/>
      <c r="D23" s="231"/>
      <c r="E23" s="231"/>
      <c r="F23" s="231"/>
      <c r="G23" s="231"/>
    </row>
    <row r="24" spans="1:8">
      <c r="A24" s="232" t="s">
        <v>778</v>
      </c>
      <c r="B24" s="233"/>
      <c r="C24" s="234">
        <v>39.700000000000003</v>
      </c>
      <c r="D24" s="231">
        <v>60</v>
      </c>
      <c r="E24" s="231">
        <v>45.6</v>
      </c>
      <c r="F24" s="231">
        <f t="shared" si="1"/>
        <v>-14.399999999999999</v>
      </c>
      <c r="G24" s="231">
        <f t="shared" si="2"/>
        <v>76</v>
      </c>
    </row>
    <row r="25" spans="1:8">
      <c r="A25" s="232" t="s">
        <v>779</v>
      </c>
      <c r="B25" s="233"/>
      <c r="C25" s="234">
        <v>120.5</v>
      </c>
      <c r="D25" s="231">
        <v>188.1</v>
      </c>
      <c r="E25" s="231">
        <v>131.5</v>
      </c>
      <c r="F25" s="231">
        <f t="shared" si="1"/>
        <v>-56.599999999999994</v>
      </c>
      <c r="G25" s="231">
        <f t="shared" si="2"/>
        <v>69.909622541201486</v>
      </c>
    </row>
    <row r="26" spans="1:8">
      <c r="A26" s="232" t="s">
        <v>470</v>
      </c>
      <c r="B26" s="233"/>
      <c r="C26" s="234">
        <v>105.8</v>
      </c>
      <c r="D26" s="231">
        <v>161.9</v>
      </c>
      <c r="E26" s="231">
        <v>34.799999999999997</v>
      </c>
      <c r="F26" s="231">
        <f t="shared" si="1"/>
        <v>-127.10000000000001</v>
      </c>
      <c r="G26" s="231">
        <f t="shared" si="2"/>
        <v>21.494749845583691</v>
      </c>
    </row>
    <row r="27" spans="1:8" ht="36">
      <c r="A27" s="230" t="s">
        <v>471</v>
      </c>
      <c r="B27" s="233"/>
      <c r="C27" s="234"/>
      <c r="D27" s="231"/>
      <c r="E27" s="231">
        <v>25.2</v>
      </c>
      <c r="F27" s="231">
        <f t="shared" si="1"/>
        <v>25.2</v>
      </c>
      <c r="G27" s="231"/>
    </row>
    <row r="28" spans="1:8">
      <c r="A28" s="334" t="s">
        <v>472</v>
      </c>
      <c r="B28" s="235" t="s">
        <v>473</v>
      </c>
      <c r="C28" s="373">
        <f>SUM(C29:C41)</f>
        <v>908.89999999999986</v>
      </c>
      <c r="D28" s="373">
        <f t="shared" ref="D28:E28" si="3">SUM(D29:D41)</f>
        <v>1093.3999999999999</v>
      </c>
      <c r="E28" s="373">
        <f t="shared" si="3"/>
        <v>1603.1</v>
      </c>
      <c r="F28" s="229">
        <f t="shared" si="1"/>
        <v>509.70000000000005</v>
      </c>
      <c r="G28" s="229">
        <f t="shared" si="2"/>
        <v>146.61605999634168</v>
      </c>
    </row>
    <row r="29" spans="1:8">
      <c r="A29" s="236" t="s">
        <v>421</v>
      </c>
      <c r="B29" s="335"/>
      <c r="C29" s="234">
        <v>529.6</v>
      </c>
      <c r="D29" s="231">
        <v>548.4</v>
      </c>
      <c r="E29" s="231">
        <v>1245</v>
      </c>
      <c r="F29" s="231">
        <f t="shared" si="1"/>
        <v>696.6</v>
      </c>
      <c r="G29" s="231">
        <f t="shared" si="2"/>
        <v>227.02407002188184</v>
      </c>
    </row>
    <row r="30" spans="1:8">
      <c r="A30" s="232" t="s">
        <v>474</v>
      </c>
      <c r="B30" s="233"/>
      <c r="C30" s="234"/>
      <c r="D30" s="231"/>
      <c r="E30" s="231"/>
      <c r="F30" s="231"/>
      <c r="G30" s="231"/>
    </row>
    <row r="31" spans="1:8">
      <c r="A31" s="232" t="s">
        <v>475</v>
      </c>
      <c r="B31" s="233"/>
      <c r="C31" s="234">
        <v>27.6</v>
      </c>
      <c r="D31" s="231">
        <v>39.5</v>
      </c>
      <c r="E31" s="231">
        <v>37.299999999999997</v>
      </c>
      <c r="F31" s="231">
        <f t="shared" si="1"/>
        <v>-2.2000000000000028</v>
      </c>
      <c r="G31" s="231">
        <f t="shared" si="2"/>
        <v>94.430379746835442</v>
      </c>
    </row>
    <row r="32" spans="1:8">
      <c r="A32" s="232" t="s">
        <v>476</v>
      </c>
      <c r="B32" s="233"/>
      <c r="C32" s="234">
        <v>69.900000000000006</v>
      </c>
      <c r="D32" s="231">
        <v>11.3</v>
      </c>
      <c r="E32" s="231">
        <v>10</v>
      </c>
      <c r="F32" s="231">
        <f t="shared" si="1"/>
        <v>-1.3000000000000007</v>
      </c>
      <c r="G32" s="231">
        <f t="shared" si="2"/>
        <v>88.495575221238937</v>
      </c>
    </row>
    <row r="33" spans="1:7" hidden="1">
      <c r="A33" s="232" t="s">
        <v>477</v>
      </c>
      <c r="B33" s="233"/>
      <c r="C33" s="234"/>
      <c r="D33" s="231"/>
      <c r="E33" s="231"/>
      <c r="F33" s="231">
        <f t="shared" si="1"/>
        <v>0</v>
      </c>
      <c r="G33" s="231"/>
    </row>
    <row r="34" spans="1:7" hidden="1">
      <c r="A34" s="232" t="s">
        <v>478</v>
      </c>
      <c r="B34" s="233"/>
      <c r="C34" s="234"/>
      <c r="D34" s="231"/>
      <c r="E34" s="231"/>
      <c r="F34" s="231">
        <f t="shared" si="1"/>
        <v>0</v>
      </c>
      <c r="G34" s="231"/>
    </row>
    <row r="35" spans="1:7">
      <c r="A35" s="237" t="s">
        <v>479</v>
      </c>
      <c r="B35" s="238"/>
      <c r="C35" s="234">
        <v>3.3</v>
      </c>
      <c r="D35" s="231">
        <v>1.9</v>
      </c>
      <c r="E35" s="231">
        <v>4.3</v>
      </c>
      <c r="F35" s="231">
        <f t="shared" si="1"/>
        <v>2.4</v>
      </c>
      <c r="G35" s="231">
        <f t="shared" si="2"/>
        <v>226.31578947368419</v>
      </c>
    </row>
    <row r="36" spans="1:7">
      <c r="A36" s="232" t="s">
        <v>480</v>
      </c>
      <c r="B36" s="233"/>
      <c r="C36" s="234">
        <v>0.1</v>
      </c>
      <c r="D36" s="231">
        <v>0.2</v>
      </c>
      <c r="E36" s="231"/>
      <c r="F36" s="231">
        <f t="shared" si="1"/>
        <v>-0.2</v>
      </c>
      <c r="G36" s="231"/>
    </row>
    <row r="37" spans="1:7" ht="22.5" customHeight="1">
      <c r="A37" s="232" t="s">
        <v>481</v>
      </c>
      <c r="B37" s="233"/>
      <c r="C37" s="234">
        <v>65.3</v>
      </c>
      <c r="D37" s="231">
        <v>62.8</v>
      </c>
      <c r="E37" s="231">
        <v>97.3</v>
      </c>
      <c r="F37" s="231">
        <f t="shared" si="1"/>
        <v>34.5</v>
      </c>
      <c r="G37" s="231">
        <f t="shared" si="2"/>
        <v>154.93630573248407</v>
      </c>
    </row>
    <row r="38" spans="1:7">
      <c r="A38" s="232" t="s">
        <v>482</v>
      </c>
      <c r="B38" s="233"/>
      <c r="C38" s="234">
        <v>62.4</v>
      </c>
      <c r="D38" s="231">
        <v>110</v>
      </c>
      <c r="E38" s="231"/>
      <c r="F38" s="231">
        <f t="shared" si="1"/>
        <v>-110</v>
      </c>
      <c r="G38" s="231">
        <f t="shared" si="2"/>
        <v>0</v>
      </c>
    </row>
    <row r="39" spans="1:7">
      <c r="A39" s="232" t="s">
        <v>483</v>
      </c>
      <c r="B39" s="233"/>
      <c r="C39" s="234"/>
      <c r="D39" s="231">
        <v>37.799999999999997</v>
      </c>
      <c r="E39" s="231"/>
      <c r="F39" s="231">
        <f t="shared" si="1"/>
        <v>-37.799999999999997</v>
      </c>
      <c r="G39" s="231">
        <f t="shared" si="2"/>
        <v>0</v>
      </c>
    </row>
    <row r="40" spans="1:7">
      <c r="A40" s="232" t="s">
        <v>484</v>
      </c>
      <c r="B40" s="233"/>
      <c r="C40" s="234"/>
      <c r="D40" s="231">
        <v>100</v>
      </c>
      <c r="E40" s="231"/>
      <c r="F40" s="231">
        <f t="shared" si="1"/>
        <v>-100</v>
      </c>
      <c r="G40" s="231">
        <f t="shared" si="2"/>
        <v>0</v>
      </c>
    </row>
    <row r="41" spans="1:7" ht="90">
      <c r="A41" s="232" t="s">
        <v>485</v>
      </c>
      <c r="B41" s="233"/>
      <c r="C41" s="234">
        <v>150.69999999999999</v>
      </c>
      <c r="D41" s="231">
        <v>181.5</v>
      </c>
      <c r="E41" s="231">
        <v>209.2</v>
      </c>
      <c r="F41" s="231">
        <f t="shared" si="1"/>
        <v>27.699999999999989</v>
      </c>
      <c r="G41" s="231">
        <f t="shared" si="2"/>
        <v>115.2617079889807</v>
      </c>
    </row>
    <row r="42" spans="1:7">
      <c r="A42" s="334" t="s">
        <v>486</v>
      </c>
      <c r="B42" s="235" t="s">
        <v>487</v>
      </c>
      <c r="C42" s="373">
        <f>SUM(C43:C47)</f>
        <v>4445</v>
      </c>
      <c r="D42" s="373">
        <f t="shared" ref="D42:E42" si="4">SUM(D43:D47)</f>
        <v>20309.8</v>
      </c>
      <c r="E42" s="373">
        <f t="shared" si="4"/>
        <v>19890.400000000001</v>
      </c>
      <c r="F42" s="229">
        <f t="shared" si="1"/>
        <v>-419.39999999999782</v>
      </c>
      <c r="G42" s="229">
        <f t="shared" si="2"/>
        <v>97.934987050586429</v>
      </c>
    </row>
    <row r="43" spans="1:7">
      <c r="A43" s="237" t="s">
        <v>488</v>
      </c>
      <c r="B43" s="238"/>
      <c r="C43" s="234"/>
      <c r="D43" s="231"/>
      <c r="E43" s="231"/>
      <c r="F43" s="231"/>
      <c r="G43" s="231"/>
    </row>
    <row r="44" spans="1:7">
      <c r="A44" s="237" t="s">
        <v>489</v>
      </c>
      <c r="B44" s="238"/>
      <c r="C44" s="234">
        <v>4341.8</v>
      </c>
      <c r="D44" s="231">
        <v>20239.8</v>
      </c>
      <c r="E44" s="231">
        <v>19890.400000000001</v>
      </c>
      <c r="F44" s="231">
        <f t="shared" si="1"/>
        <v>-349.39999999999782</v>
      </c>
      <c r="G44" s="231">
        <f t="shared" si="2"/>
        <v>98.273698356703136</v>
      </c>
    </row>
    <row r="45" spans="1:7">
      <c r="A45" s="239" t="s">
        <v>490</v>
      </c>
      <c r="B45" s="240"/>
      <c r="C45" s="234">
        <v>17.399999999999999</v>
      </c>
      <c r="D45" s="231">
        <v>10</v>
      </c>
      <c r="E45" s="231"/>
      <c r="F45" s="231">
        <f t="shared" si="1"/>
        <v>-10</v>
      </c>
      <c r="G45" s="231">
        <f t="shared" si="2"/>
        <v>0</v>
      </c>
    </row>
    <row r="46" spans="1:7">
      <c r="A46" s="239" t="s">
        <v>491</v>
      </c>
      <c r="B46" s="240"/>
      <c r="C46" s="234">
        <v>9.5</v>
      </c>
      <c r="D46" s="231"/>
      <c r="E46" s="231"/>
      <c r="F46" s="231">
        <f>E46-D46</f>
        <v>0</v>
      </c>
      <c r="G46" s="231"/>
    </row>
    <row r="47" spans="1:7">
      <c r="A47" s="236" t="s">
        <v>492</v>
      </c>
      <c r="B47" s="335"/>
      <c r="C47" s="234">
        <v>76.3</v>
      </c>
      <c r="D47" s="231">
        <v>60</v>
      </c>
      <c r="E47" s="231"/>
      <c r="F47" s="231">
        <f t="shared" si="1"/>
        <v>-60</v>
      </c>
      <c r="G47" s="231">
        <f>E47/D47*100</f>
        <v>0</v>
      </c>
    </row>
    <row r="48" spans="1:7">
      <c r="A48" s="334" t="s">
        <v>493</v>
      </c>
      <c r="B48" s="235" t="s">
        <v>494</v>
      </c>
      <c r="C48" s="373">
        <f>SUM(C49:C61)</f>
        <v>46390.000000000007</v>
      </c>
      <c r="D48" s="373">
        <f t="shared" ref="D48:E48" si="5">SUM(D49:D61)</f>
        <v>7065.7</v>
      </c>
      <c r="E48" s="373">
        <f t="shared" si="5"/>
        <v>6921.0000000000009</v>
      </c>
      <c r="F48" s="229">
        <f t="shared" si="1"/>
        <v>-144.69999999999891</v>
      </c>
      <c r="G48" s="229">
        <f t="shared" si="2"/>
        <v>97.952078350340386</v>
      </c>
    </row>
    <row r="49" spans="1:7">
      <c r="A49" s="232" t="s">
        <v>495</v>
      </c>
      <c r="B49" s="233"/>
      <c r="C49" s="234">
        <v>975.6</v>
      </c>
      <c r="D49" s="231">
        <v>1300</v>
      </c>
      <c r="E49" s="231">
        <v>1448.7</v>
      </c>
      <c r="F49" s="231">
        <f t="shared" si="1"/>
        <v>148.70000000000005</v>
      </c>
      <c r="G49" s="231">
        <f t="shared" si="2"/>
        <v>111.43846153846155</v>
      </c>
    </row>
    <row r="50" spans="1:7">
      <c r="A50" s="232" t="s">
        <v>496</v>
      </c>
      <c r="B50" s="233"/>
      <c r="C50" s="234">
        <v>0.5</v>
      </c>
      <c r="D50" s="231">
        <v>1</v>
      </c>
      <c r="E50" s="231">
        <v>15.3</v>
      </c>
      <c r="F50" s="231">
        <f t="shared" si="1"/>
        <v>14.3</v>
      </c>
      <c r="G50" s="231">
        <f t="shared" si="2"/>
        <v>1530</v>
      </c>
    </row>
    <row r="51" spans="1:7">
      <c r="A51" s="232" t="s">
        <v>497</v>
      </c>
      <c r="B51" s="233"/>
      <c r="C51" s="234">
        <v>246.8</v>
      </c>
      <c r="D51" s="231">
        <v>200</v>
      </c>
      <c r="E51" s="231">
        <v>182.2</v>
      </c>
      <c r="F51" s="231">
        <f t="shared" si="1"/>
        <v>-17.800000000000011</v>
      </c>
      <c r="G51" s="231">
        <f t="shared" si="2"/>
        <v>91.1</v>
      </c>
    </row>
    <row r="52" spans="1:7">
      <c r="A52" s="232" t="s">
        <v>498</v>
      </c>
      <c r="B52" s="233"/>
      <c r="C52" s="234">
        <v>4653.6000000000004</v>
      </c>
      <c r="D52" s="231">
        <v>5116.8999999999996</v>
      </c>
      <c r="E52" s="231">
        <v>4864.1000000000004</v>
      </c>
      <c r="F52" s="231">
        <f t="shared" si="1"/>
        <v>-252.79999999999927</v>
      </c>
      <c r="G52" s="231">
        <f t="shared" si="2"/>
        <v>95.059508686900287</v>
      </c>
    </row>
    <row r="53" spans="1:7">
      <c r="A53" s="232" t="s">
        <v>499</v>
      </c>
      <c r="B53" s="233"/>
      <c r="C53" s="234">
        <v>50.3</v>
      </c>
      <c r="D53" s="231">
        <v>52.8</v>
      </c>
      <c r="E53" s="231">
        <v>51.7</v>
      </c>
      <c r="F53" s="231">
        <f t="shared" si="1"/>
        <v>-1.0999999999999943</v>
      </c>
      <c r="G53" s="231">
        <f t="shared" si="2"/>
        <v>97.916666666666671</v>
      </c>
    </row>
    <row r="54" spans="1:7">
      <c r="A54" s="232" t="s">
        <v>500</v>
      </c>
      <c r="B54" s="233"/>
      <c r="C54" s="234">
        <v>200.9</v>
      </c>
      <c r="D54" s="231">
        <v>360</v>
      </c>
      <c r="E54" s="231">
        <v>58.2</v>
      </c>
      <c r="F54" s="231">
        <f t="shared" ref="F54:F61" si="6">E54-D54</f>
        <v>-301.8</v>
      </c>
      <c r="G54" s="231">
        <f t="shared" ref="G54:G59" si="7">E54/D54*100</f>
        <v>16.166666666666668</v>
      </c>
    </row>
    <row r="55" spans="1:7" ht="36">
      <c r="A55" s="232" t="s">
        <v>501</v>
      </c>
      <c r="B55" s="233"/>
      <c r="C55" s="234"/>
      <c r="D55" s="231"/>
      <c r="E55" s="231">
        <v>182</v>
      </c>
      <c r="F55" s="231">
        <f t="shared" si="6"/>
        <v>182</v>
      </c>
      <c r="G55" s="231"/>
    </row>
    <row r="56" spans="1:7">
      <c r="A56" s="232" t="s">
        <v>502</v>
      </c>
      <c r="B56" s="233"/>
      <c r="C56" s="234">
        <v>36.200000000000003</v>
      </c>
      <c r="D56" s="231">
        <v>20</v>
      </c>
      <c r="E56" s="231">
        <v>92.1</v>
      </c>
      <c r="F56" s="231">
        <f t="shared" si="6"/>
        <v>72.099999999999994</v>
      </c>
      <c r="G56" s="231">
        <f t="shared" si="7"/>
        <v>460.49999999999994</v>
      </c>
    </row>
    <row r="57" spans="1:7">
      <c r="A57" s="232" t="s">
        <v>503</v>
      </c>
      <c r="B57" s="233"/>
      <c r="C57" s="234">
        <v>9</v>
      </c>
      <c r="D57" s="231">
        <v>5</v>
      </c>
      <c r="E57" s="231">
        <v>5.6</v>
      </c>
      <c r="F57" s="231">
        <f t="shared" si="6"/>
        <v>0.59999999999999964</v>
      </c>
      <c r="G57" s="231">
        <f t="shared" si="7"/>
        <v>111.99999999999999</v>
      </c>
    </row>
    <row r="58" spans="1:7">
      <c r="A58" s="232" t="s">
        <v>504</v>
      </c>
      <c r="B58" s="233"/>
      <c r="C58" s="234"/>
      <c r="D58" s="231"/>
      <c r="E58" s="231">
        <v>21.1</v>
      </c>
      <c r="F58" s="231">
        <f t="shared" si="6"/>
        <v>21.1</v>
      </c>
      <c r="G58" s="231"/>
    </row>
    <row r="59" spans="1:7">
      <c r="A59" s="232" t="s">
        <v>505</v>
      </c>
      <c r="B59" s="233"/>
      <c r="C59" s="234">
        <v>6</v>
      </c>
      <c r="D59" s="231">
        <v>10</v>
      </c>
      <c r="E59" s="231"/>
      <c r="F59" s="231">
        <f t="shared" si="6"/>
        <v>-10</v>
      </c>
      <c r="G59" s="231">
        <f t="shared" si="7"/>
        <v>0</v>
      </c>
    </row>
    <row r="60" spans="1:7" ht="90">
      <c r="A60" s="232" t="s">
        <v>506</v>
      </c>
      <c r="B60" s="233"/>
      <c r="C60" s="234">
        <v>40187.800000000003</v>
      </c>
      <c r="D60" s="231"/>
      <c r="E60" s="231"/>
      <c r="F60" s="231">
        <f t="shared" si="6"/>
        <v>0</v>
      </c>
      <c r="G60" s="231"/>
    </row>
    <row r="61" spans="1:7">
      <c r="A61" s="232" t="s">
        <v>782</v>
      </c>
      <c r="B61" s="233"/>
      <c r="C61" s="234">
        <v>23.3</v>
      </c>
      <c r="D61" s="231"/>
      <c r="E61" s="231"/>
      <c r="F61" s="231">
        <f t="shared" si="6"/>
        <v>0</v>
      </c>
      <c r="G61" s="231"/>
    </row>
    <row r="62" spans="1:7">
      <c r="A62" s="334" t="s">
        <v>507</v>
      </c>
      <c r="B62" s="235" t="s">
        <v>508</v>
      </c>
      <c r="C62" s="373">
        <f>SUM(C63:C66)</f>
        <v>1287</v>
      </c>
      <c r="D62" s="373">
        <f>D63+D66</f>
        <v>3398.9</v>
      </c>
      <c r="E62" s="373">
        <f>SUM(E63:E68)</f>
        <v>3988</v>
      </c>
      <c r="F62" s="229">
        <f t="shared" si="1"/>
        <v>589.09999999999991</v>
      </c>
      <c r="G62" s="229">
        <f t="shared" si="2"/>
        <v>117.33207802524346</v>
      </c>
    </row>
    <row r="63" spans="1:7">
      <c r="A63" s="236" t="s">
        <v>509</v>
      </c>
      <c r="B63" s="240"/>
      <c r="C63" s="234">
        <v>676.9</v>
      </c>
      <c r="D63" s="231">
        <v>1722.5</v>
      </c>
      <c r="E63" s="231"/>
      <c r="F63" s="231">
        <f t="shared" si="1"/>
        <v>-1722.5</v>
      </c>
      <c r="G63" s="231">
        <f>E63/D63*100</f>
        <v>0</v>
      </c>
    </row>
    <row r="64" spans="1:7">
      <c r="A64" s="236" t="s">
        <v>510</v>
      </c>
      <c r="B64" s="240"/>
      <c r="C64" s="234"/>
      <c r="D64" s="231">
        <v>108.9</v>
      </c>
      <c r="E64" s="231">
        <v>698.9</v>
      </c>
      <c r="F64" s="231">
        <f t="shared" si="1"/>
        <v>590</v>
      </c>
      <c r="G64" s="231">
        <f t="shared" si="2"/>
        <v>641.78145087235987</v>
      </c>
    </row>
    <row r="65" spans="1:8">
      <c r="A65" s="236" t="s">
        <v>511</v>
      </c>
      <c r="B65" s="240"/>
      <c r="C65" s="234"/>
      <c r="D65" s="231">
        <v>1613.6</v>
      </c>
      <c r="E65" s="231">
        <v>1613.5</v>
      </c>
      <c r="F65" s="231">
        <f t="shared" si="1"/>
        <v>-9.9999999999909051E-2</v>
      </c>
      <c r="G65" s="231">
        <f t="shared" si="2"/>
        <v>99.993802677243437</v>
      </c>
    </row>
    <row r="66" spans="1:8">
      <c r="A66" s="236" t="s">
        <v>512</v>
      </c>
      <c r="B66" s="240"/>
      <c r="C66" s="234">
        <v>610.1</v>
      </c>
      <c r="D66" s="231">
        <v>1676.4</v>
      </c>
      <c r="E66" s="231"/>
      <c r="F66" s="231">
        <f t="shared" si="1"/>
        <v>-1676.4</v>
      </c>
      <c r="G66" s="231">
        <f>E66/D66*100</f>
        <v>0</v>
      </c>
    </row>
    <row r="67" spans="1:8">
      <c r="A67" s="236" t="s">
        <v>513</v>
      </c>
      <c r="B67" s="240"/>
      <c r="C67" s="234"/>
      <c r="D67" s="231">
        <v>390.5</v>
      </c>
      <c r="E67" s="231">
        <v>390.1</v>
      </c>
      <c r="F67" s="231">
        <f t="shared" si="1"/>
        <v>-0.39999999999997726</v>
      </c>
      <c r="G67" s="231">
        <f>E67/D67*100</f>
        <v>99.897567221510883</v>
      </c>
    </row>
    <row r="68" spans="1:8">
      <c r="A68" s="236" t="s">
        <v>514</v>
      </c>
      <c r="B68" s="240"/>
      <c r="C68" s="234"/>
      <c r="D68" s="231">
        <v>1285.9000000000001</v>
      </c>
      <c r="E68" s="231">
        <v>1285.5</v>
      </c>
      <c r="F68" s="231"/>
      <c r="G68" s="231">
        <f t="shared" si="2"/>
        <v>99.968893382067023</v>
      </c>
    </row>
    <row r="69" spans="1:8">
      <c r="A69" s="334" t="s">
        <v>515</v>
      </c>
      <c r="B69" s="235" t="s">
        <v>516</v>
      </c>
      <c r="C69" s="373">
        <f>SUM(C70:C74)</f>
        <v>264</v>
      </c>
      <c r="D69" s="373">
        <f>SUM(D70:D74)</f>
        <v>100</v>
      </c>
      <c r="E69" s="373">
        <f>SUM(E70:E73)</f>
        <v>24</v>
      </c>
      <c r="F69" s="229">
        <f t="shared" si="1"/>
        <v>-76</v>
      </c>
      <c r="G69" s="229">
        <f>E69/D69*100</f>
        <v>24</v>
      </c>
    </row>
    <row r="70" spans="1:8">
      <c r="A70" s="232" t="s">
        <v>517</v>
      </c>
      <c r="B70" s="233"/>
      <c r="C70" s="234">
        <v>234.6</v>
      </c>
      <c r="D70" s="231">
        <v>40</v>
      </c>
      <c r="E70" s="231">
        <v>3.2</v>
      </c>
      <c r="F70" s="231">
        <f t="shared" si="1"/>
        <v>-36.799999999999997</v>
      </c>
      <c r="G70" s="231">
        <f t="shared" si="2"/>
        <v>8</v>
      </c>
    </row>
    <row r="71" spans="1:8">
      <c r="A71" s="232" t="s">
        <v>518</v>
      </c>
      <c r="B71" s="233"/>
      <c r="C71" s="234">
        <v>29.4</v>
      </c>
      <c r="D71" s="231">
        <v>20</v>
      </c>
      <c r="E71" s="231"/>
      <c r="F71" s="231">
        <f t="shared" si="1"/>
        <v>-20</v>
      </c>
      <c r="G71" s="231">
        <f>E71/D71*100</f>
        <v>0</v>
      </c>
    </row>
    <row r="72" spans="1:8">
      <c r="A72" s="232" t="s">
        <v>519</v>
      </c>
      <c r="B72" s="233"/>
      <c r="C72" s="234"/>
      <c r="D72" s="231">
        <v>40</v>
      </c>
      <c r="E72" s="231">
        <v>16.399999999999999</v>
      </c>
      <c r="F72" s="231">
        <f t="shared" si="1"/>
        <v>-23.6</v>
      </c>
      <c r="G72" s="231">
        <f t="shared" si="2"/>
        <v>41</v>
      </c>
    </row>
    <row r="73" spans="1:8" ht="83.25" customHeight="1">
      <c r="A73" s="232" t="s">
        <v>520</v>
      </c>
      <c r="B73" s="232"/>
      <c r="C73" s="234"/>
      <c r="D73" s="231"/>
      <c r="E73" s="231">
        <v>4.4000000000000004</v>
      </c>
      <c r="F73" s="231">
        <f t="shared" si="1"/>
        <v>4.4000000000000004</v>
      </c>
      <c r="G73" s="231"/>
    </row>
    <row r="74" spans="1:8">
      <c r="A74" s="467" t="s">
        <v>521</v>
      </c>
      <c r="B74" s="468"/>
      <c r="C74" s="468"/>
      <c r="D74" s="468"/>
      <c r="E74" s="468"/>
      <c r="F74" s="468"/>
      <c r="G74" s="469"/>
    </row>
    <row r="75" spans="1:8">
      <c r="A75" s="334" t="s">
        <v>522</v>
      </c>
      <c r="B75" s="235" t="s">
        <v>523</v>
      </c>
      <c r="C75" s="373">
        <f>SUM(C76:C91)</f>
        <v>405888</v>
      </c>
      <c r="D75" s="373">
        <f>SUM(D76:D91)</f>
        <v>593927</v>
      </c>
      <c r="E75" s="373">
        <f t="shared" ref="E75" si="8">SUM(E76:E91)</f>
        <v>430278</v>
      </c>
      <c r="F75" s="229">
        <f t="shared" si="1"/>
        <v>-163649</v>
      </c>
      <c r="G75" s="229">
        <f>E75/D75*100</f>
        <v>72.446277067720445</v>
      </c>
    </row>
    <row r="76" spans="1:8" ht="41.25" customHeight="1">
      <c r="A76" s="236" t="s">
        <v>524</v>
      </c>
      <c r="B76" s="335"/>
      <c r="C76" s="234">
        <v>3605.2</v>
      </c>
      <c r="D76" s="231">
        <v>3500</v>
      </c>
      <c r="E76" s="231">
        <v>3758</v>
      </c>
      <c r="F76" s="231">
        <f>E76-D76</f>
        <v>258</v>
      </c>
      <c r="G76" s="231">
        <f t="shared" ref="G76:G103" si="9">E76/D76*100</f>
        <v>107.37142857142857</v>
      </c>
    </row>
    <row r="77" spans="1:8">
      <c r="A77" s="230" t="s">
        <v>525</v>
      </c>
      <c r="B77" s="241"/>
      <c r="C77" s="234">
        <v>400.1</v>
      </c>
      <c r="D77" s="231">
        <v>385</v>
      </c>
      <c r="E77" s="231">
        <v>565.70000000000005</v>
      </c>
      <c r="F77" s="231">
        <f t="shared" si="1"/>
        <v>180.70000000000005</v>
      </c>
      <c r="G77" s="231">
        <f t="shared" si="9"/>
        <v>146.93506493506493</v>
      </c>
    </row>
    <row r="78" spans="1:8" ht="36">
      <c r="A78" s="230" t="s">
        <v>526</v>
      </c>
      <c r="B78" s="241"/>
      <c r="C78" s="234"/>
      <c r="D78" s="231">
        <v>88520.3</v>
      </c>
      <c r="E78" s="231"/>
      <c r="F78" s="231">
        <f t="shared" si="1"/>
        <v>-88520.3</v>
      </c>
      <c r="G78" s="231">
        <f t="shared" si="9"/>
        <v>0</v>
      </c>
    </row>
    <row r="79" spans="1:8" ht="39.75" customHeight="1">
      <c r="A79" s="230" t="s">
        <v>527</v>
      </c>
      <c r="B79" s="241"/>
      <c r="C79" s="234"/>
      <c r="D79" s="231">
        <v>10860.2</v>
      </c>
      <c r="E79" s="231"/>
      <c r="F79" s="231">
        <f t="shared" si="1"/>
        <v>-10860.2</v>
      </c>
      <c r="G79" s="231">
        <f t="shared" si="9"/>
        <v>0</v>
      </c>
      <c r="H79" s="242"/>
    </row>
    <row r="80" spans="1:8">
      <c r="A80" s="230" t="s">
        <v>528</v>
      </c>
      <c r="B80" s="241"/>
      <c r="C80" s="234"/>
      <c r="D80" s="231"/>
      <c r="E80" s="231"/>
      <c r="F80" s="231"/>
      <c r="G80" s="231"/>
    </row>
    <row r="81" spans="1:7">
      <c r="A81" s="230" t="s">
        <v>529</v>
      </c>
      <c r="B81" s="241"/>
      <c r="C81" s="234">
        <v>4364.2</v>
      </c>
      <c r="D81" s="231">
        <v>2789.2</v>
      </c>
      <c r="E81" s="231">
        <v>2789.2</v>
      </c>
      <c r="F81" s="231">
        <f t="shared" ref="F81:F105" si="10">E81-D81</f>
        <v>0</v>
      </c>
      <c r="G81" s="231">
        <f t="shared" si="9"/>
        <v>100</v>
      </c>
    </row>
    <row r="82" spans="1:7" ht="20.25" customHeight="1">
      <c r="A82" s="230" t="s">
        <v>530</v>
      </c>
      <c r="B82" s="241"/>
      <c r="C82" s="234">
        <v>2674.7</v>
      </c>
      <c r="D82" s="231">
        <v>667.1</v>
      </c>
      <c r="E82" s="231">
        <v>667.1</v>
      </c>
      <c r="F82" s="231">
        <f t="shared" si="10"/>
        <v>0</v>
      </c>
      <c r="G82" s="231">
        <f t="shared" si="9"/>
        <v>100</v>
      </c>
    </row>
    <row r="83" spans="1:7" ht="36">
      <c r="A83" s="230" t="s">
        <v>531</v>
      </c>
      <c r="B83" s="241"/>
      <c r="C83" s="234">
        <v>462.5</v>
      </c>
      <c r="D83" s="234">
        <v>203.4</v>
      </c>
      <c r="E83" s="234">
        <v>220.2</v>
      </c>
      <c r="F83" s="231">
        <f t="shared" si="10"/>
        <v>16.799999999999983</v>
      </c>
      <c r="G83" s="231">
        <f t="shared" si="9"/>
        <v>108.25958702064895</v>
      </c>
    </row>
    <row r="84" spans="1:7" ht="54">
      <c r="A84" s="230" t="s">
        <v>532</v>
      </c>
      <c r="B84" s="241"/>
      <c r="C84" s="234">
        <v>294803.09999999998</v>
      </c>
      <c r="D84" s="234">
        <v>268803.09999999998</v>
      </c>
      <c r="E84" s="234">
        <v>268803.09999999998</v>
      </c>
      <c r="F84" s="231">
        <f t="shared" si="10"/>
        <v>0</v>
      </c>
      <c r="G84" s="231">
        <f t="shared" si="9"/>
        <v>100</v>
      </c>
    </row>
    <row r="85" spans="1:7" ht="72">
      <c r="A85" s="230" t="s">
        <v>533</v>
      </c>
      <c r="B85" s="241"/>
      <c r="C85" s="234">
        <v>99459.8</v>
      </c>
      <c r="D85" s="411">
        <v>24153.3</v>
      </c>
      <c r="E85" s="234">
        <v>24153.3</v>
      </c>
      <c r="F85" s="231">
        <f t="shared" si="10"/>
        <v>0</v>
      </c>
      <c r="G85" s="231">
        <f t="shared" si="9"/>
        <v>100</v>
      </c>
    </row>
    <row r="86" spans="1:7" ht="72">
      <c r="A86" s="230" t="s">
        <v>534</v>
      </c>
      <c r="B86" s="241"/>
      <c r="C86" s="234"/>
      <c r="D86" s="411">
        <v>48306.5</v>
      </c>
      <c r="E86" s="234">
        <v>48306.5</v>
      </c>
      <c r="F86" s="231">
        <f t="shared" si="10"/>
        <v>0</v>
      </c>
      <c r="G86" s="231">
        <f t="shared" si="9"/>
        <v>100</v>
      </c>
    </row>
    <row r="87" spans="1:7" ht="72">
      <c r="A87" s="243" t="s">
        <v>535</v>
      </c>
      <c r="B87" s="241"/>
      <c r="C87" s="234"/>
      <c r="D87" s="234">
        <v>61933.4</v>
      </c>
      <c r="E87" s="231">
        <v>61923.9</v>
      </c>
      <c r="F87" s="231">
        <f t="shared" si="10"/>
        <v>-9.5</v>
      </c>
      <c r="G87" s="231">
        <f t="shared" si="9"/>
        <v>99.984660942237952</v>
      </c>
    </row>
    <row r="88" spans="1:7" ht="72">
      <c r="A88" s="244" t="s">
        <v>536</v>
      </c>
      <c r="B88" s="241"/>
      <c r="C88" s="234"/>
      <c r="D88" s="234">
        <v>19098.400000000001</v>
      </c>
      <c r="E88" s="231">
        <v>19091</v>
      </c>
      <c r="F88" s="231">
        <f t="shared" si="10"/>
        <v>-7.4000000000014552</v>
      </c>
      <c r="G88" s="231">
        <f t="shared" si="9"/>
        <v>99.961253298705643</v>
      </c>
    </row>
    <row r="89" spans="1:7" ht="25.5" customHeight="1">
      <c r="A89" s="304" t="s">
        <v>783</v>
      </c>
      <c r="B89" s="241"/>
      <c r="C89" s="234">
        <v>118.4</v>
      </c>
      <c r="D89" s="234"/>
      <c r="E89" s="231"/>
      <c r="F89" s="231"/>
      <c r="G89" s="231"/>
    </row>
    <row r="90" spans="1:7" ht="25.5" customHeight="1">
      <c r="A90" s="230" t="s">
        <v>537</v>
      </c>
      <c r="B90" s="241"/>
      <c r="C90" s="234"/>
      <c r="D90" s="234">
        <v>53679.7</v>
      </c>
      <c r="E90" s="234"/>
      <c r="F90" s="231">
        <f t="shared" si="10"/>
        <v>-53679.7</v>
      </c>
      <c r="G90" s="231">
        <f t="shared" si="9"/>
        <v>0</v>
      </c>
    </row>
    <row r="91" spans="1:7" ht="36">
      <c r="A91" s="245" t="s">
        <v>538</v>
      </c>
      <c r="B91" s="246"/>
      <c r="C91" s="234"/>
      <c r="D91" s="234">
        <v>11027.4</v>
      </c>
      <c r="E91" s="234"/>
      <c r="F91" s="231">
        <f t="shared" si="10"/>
        <v>-11027.4</v>
      </c>
      <c r="G91" s="231">
        <f t="shared" si="9"/>
        <v>0</v>
      </c>
    </row>
    <row r="92" spans="1:7" ht="21" customHeight="1">
      <c r="A92" s="334" t="s">
        <v>539</v>
      </c>
      <c r="B92" s="235" t="s">
        <v>540</v>
      </c>
      <c r="C92" s="373">
        <f>C93</f>
        <v>108</v>
      </c>
      <c r="D92" s="373">
        <f t="shared" ref="D92:E92" si="11">D93</f>
        <v>150</v>
      </c>
      <c r="E92" s="373">
        <f t="shared" si="11"/>
        <v>192</v>
      </c>
      <c r="F92" s="229">
        <f t="shared" si="10"/>
        <v>42</v>
      </c>
      <c r="G92" s="229">
        <f t="shared" si="9"/>
        <v>128</v>
      </c>
    </row>
    <row r="93" spans="1:7" ht="36">
      <c r="A93" s="272" t="s">
        <v>541</v>
      </c>
      <c r="B93" s="236"/>
      <c r="C93" s="234">
        <v>108</v>
      </c>
      <c r="D93" s="234">
        <v>150</v>
      </c>
      <c r="E93" s="234">
        <v>192</v>
      </c>
      <c r="F93" s="231">
        <f t="shared" si="10"/>
        <v>42</v>
      </c>
      <c r="G93" s="231">
        <f t="shared" si="9"/>
        <v>128</v>
      </c>
    </row>
    <row r="94" spans="1:7">
      <c r="A94" s="334" t="s">
        <v>542</v>
      </c>
      <c r="B94" s="333" t="s">
        <v>543</v>
      </c>
      <c r="C94" s="373">
        <f>SUM(C95:C105)</f>
        <v>5280.0000000000009</v>
      </c>
      <c r="D94" s="373">
        <f>SUM(D95:D105)</f>
        <v>5111</v>
      </c>
      <c r="E94" s="373">
        <f>SUM(E95:E105)</f>
        <v>6237</v>
      </c>
      <c r="F94" s="229">
        <f t="shared" si="10"/>
        <v>1126</v>
      </c>
      <c r="G94" s="229">
        <f t="shared" si="9"/>
        <v>122.03091371551555</v>
      </c>
    </row>
    <row r="95" spans="1:7">
      <c r="A95" s="230" t="s">
        <v>544</v>
      </c>
      <c r="B95" s="48"/>
      <c r="C95" s="234">
        <v>230.1</v>
      </c>
      <c r="D95" s="234">
        <v>230</v>
      </c>
      <c r="E95" s="234">
        <v>1054.8</v>
      </c>
      <c r="F95" s="231">
        <f t="shared" si="10"/>
        <v>824.8</v>
      </c>
      <c r="G95" s="231">
        <f t="shared" si="9"/>
        <v>458.60869565217388</v>
      </c>
    </row>
    <row r="96" spans="1:7" ht="36">
      <c r="A96" s="230" t="s">
        <v>545</v>
      </c>
      <c r="B96" s="48"/>
      <c r="C96" s="234">
        <v>4758.1000000000004</v>
      </c>
      <c r="D96" s="234">
        <v>4700</v>
      </c>
      <c r="E96" s="234">
        <v>4659.8</v>
      </c>
      <c r="F96" s="231">
        <f t="shared" si="10"/>
        <v>-40.199999999999818</v>
      </c>
      <c r="G96" s="231">
        <f t="shared" si="9"/>
        <v>99.144680851063839</v>
      </c>
    </row>
    <row r="97" spans="1:7" ht="42.75" customHeight="1">
      <c r="A97" s="230" t="s">
        <v>546</v>
      </c>
      <c r="B97" s="48"/>
      <c r="C97" s="234">
        <v>10</v>
      </c>
      <c r="D97" s="234">
        <v>10</v>
      </c>
      <c r="E97" s="234"/>
      <c r="F97" s="231">
        <f t="shared" si="10"/>
        <v>-10</v>
      </c>
      <c r="G97" s="231">
        <f t="shared" si="9"/>
        <v>0</v>
      </c>
    </row>
    <row r="98" spans="1:7">
      <c r="A98" s="230" t="s">
        <v>547</v>
      </c>
      <c r="B98" s="48"/>
      <c r="C98" s="234"/>
      <c r="D98" s="234"/>
      <c r="E98" s="234"/>
      <c r="F98" s="231"/>
      <c r="G98" s="231"/>
    </row>
    <row r="99" spans="1:7">
      <c r="A99" s="230" t="s">
        <v>548</v>
      </c>
      <c r="B99" s="48"/>
      <c r="C99" s="234">
        <v>17.100000000000001</v>
      </c>
      <c r="D99" s="234">
        <v>50</v>
      </c>
      <c r="E99" s="234"/>
      <c r="F99" s="231">
        <f t="shared" si="10"/>
        <v>-50</v>
      </c>
      <c r="G99" s="231">
        <f t="shared" si="9"/>
        <v>0</v>
      </c>
    </row>
    <row r="100" spans="1:7" ht="22.5" customHeight="1">
      <c r="A100" s="230" t="s">
        <v>549</v>
      </c>
      <c r="B100" s="48"/>
      <c r="C100" s="234"/>
      <c r="D100" s="234">
        <v>20</v>
      </c>
      <c r="E100" s="234">
        <v>13.2</v>
      </c>
      <c r="F100" s="231">
        <f t="shared" si="10"/>
        <v>-6.8000000000000007</v>
      </c>
      <c r="G100" s="231">
        <f t="shared" si="9"/>
        <v>65.999999999999986</v>
      </c>
    </row>
    <row r="101" spans="1:7" ht="59.25" customHeight="1">
      <c r="A101" s="230" t="s">
        <v>550</v>
      </c>
      <c r="B101" s="48"/>
      <c r="C101" s="234">
        <v>4</v>
      </c>
      <c r="D101" s="234"/>
      <c r="E101" s="234">
        <v>11.5</v>
      </c>
      <c r="F101" s="231">
        <f t="shared" si="10"/>
        <v>11.5</v>
      </c>
      <c r="G101" s="231"/>
    </row>
    <row r="102" spans="1:7">
      <c r="A102" s="230" t="s">
        <v>551</v>
      </c>
      <c r="B102" s="48"/>
      <c r="C102" s="234">
        <v>4.4000000000000004</v>
      </c>
      <c r="D102" s="234">
        <v>1</v>
      </c>
      <c r="E102" s="234">
        <v>3.5</v>
      </c>
      <c r="F102" s="231">
        <f t="shared" si="10"/>
        <v>2.5</v>
      </c>
      <c r="G102" s="231">
        <f t="shared" si="9"/>
        <v>350</v>
      </c>
    </row>
    <row r="103" spans="1:7">
      <c r="A103" s="230" t="s">
        <v>552</v>
      </c>
      <c r="B103" s="48"/>
      <c r="C103" s="234">
        <v>256.3</v>
      </c>
      <c r="D103" s="234">
        <v>100</v>
      </c>
      <c r="E103" s="234">
        <v>389.2</v>
      </c>
      <c r="F103" s="231">
        <f t="shared" si="10"/>
        <v>289.2</v>
      </c>
      <c r="G103" s="231">
        <f t="shared" si="9"/>
        <v>389.2</v>
      </c>
    </row>
    <row r="104" spans="1:7">
      <c r="A104" s="230" t="s">
        <v>795</v>
      </c>
      <c r="B104" s="48"/>
      <c r="C104" s="234"/>
      <c r="D104" s="234"/>
      <c r="E104" s="234">
        <v>5</v>
      </c>
      <c r="F104" s="231"/>
      <c r="G104" s="231"/>
    </row>
    <row r="105" spans="1:7">
      <c r="A105" s="236" t="s">
        <v>553</v>
      </c>
      <c r="B105" s="48"/>
      <c r="C105" s="234"/>
      <c r="D105" s="234"/>
      <c r="E105" s="234">
        <v>100</v>
      </c>
      <c r="F105" s="231">
        <f t="shared" si="10"/>
        <v>100</v>
      </c>
      <c r="G105" s="231"/>
    </row>
    <row r="106" spans="1:7" ht="52.2" customHeight="1">
      <c r="A106" s="181"/>
      <c r="E106" s="332"/>
    </row>
    <row r="107" spans="1:7" ht="21" customHeight="1">
      <c r="A107" s="374" t="s">
        <v>554</v>
      </c>
      <c r="B107" s="185"/>
      <c r="C107" s="470" t="s">
        <v>79</v>
      </c>
      <c r="D107" s="470"/>
      <c r="E107" s="247"/>
      <c r="F107" s="471" t="s">
        <v>555</v>
      </c>
      <c r="G107" s="471"/>
    </row>
    <row r="108" spans="1:7" hidden="1">
      <c r="A108" s="227" t="s">
        <v>360</v>
      </c>
      <c r="B108" s="226"/>
      <c r="C108" s="461" t="s">
        <v>556</v>
      </c>
      <c r="D108" s="461"/>
      <c r="E108" s="226"/>
      <c r="F108" s="462" t="s">
        <v>76</v>
      </c>
      <c r="G108" s="462"/>
    </row>
    <row r="109" spans="1:7">
      <c r="A109" s="181"/>
    </row>
    <row r="110" spans="1:7">
      <c r="A110" s="181"/>
    </row>
    <row r="111" spans="1:7">
      <c r="A111" s="181"/>
    </row>
    <row r="112" spans="1:7">
      <c r="A112" s="181"/>
    </row>
    <row r="113" spans="1:1">
      <c r="A113" s="181"/>
    </row>
    <row r="114" spans="1:1">
      <c r="A114" s="181"/>
    </row>
    <row r="115" spans="1:1">
      <c r="A115" s="181"/>
    </row>
    <row r="116" spans="1:1">
      <c r="A116" s="181"/>
    </row>
    <row r="117" spans="1:1">
      <c r="A117" s="181"/>
    </row>
    <row r="118" spans="1:1">
      <c r="A118" s="181"/>
    </row>
    <row r="119" spans="1:1">
      <c r="A119" s="181"/>
    </row>
    <row r="120" spans="1:1">
      <c r="A120" s="181"/>
    </row>
    <row r="121" spans="1:1">
      <c r="A121" s="181"/>
    </row>
    <row r="122" spans="1:1">
      <c r="A122" s="181"/>
    </row>
    <row r="123" spans="1:1">
      <c r="A123" s="181"/>
    </row>
    <row r="124" spans="1:1">
      <c r="A124" s="181"/>
    </row>
    <row r="125" spans="1:1">
      <c r="A125" s="181"/>
    </row>
    <row r="126" spans="1:1">
      <c r="A126" s="181"/>
    </row>
    <row r="127" spans="1:1">
      <c r="A127" s="181"/>
    </row>
    <row r="128" spans="1:1">
      <c r="A128" s="181"/>
    </row>
    <row r="129" spans="1:1">
      <c r="A129" s="181"/>
    </row>
    <row r="130" spans="1:1">
      <c r="A130" s="181"/>
    </row>
    <row r="131" spans="1:1">
      <c r="A131" s="181"/>
    </row>
    <row r="132" spans="1:1">
      <c r="A132" s="181"/>
    </row>
    <row r="133" spans="1:1">
      <c r="A133" s="181"/>
    </row>
    <row r="134" spans="1:1">
      <c r="A134" s="181"/>
    </row>
    <row r="135" spans="1:1">
      <c r="A135" s="181"/>
    </row>
    <row r="136" spans="1:1">
      <c r="A136" s="181"/>
    </row>
    <row r="137" spans="1:1">
      <c r="A137" s="181"/>
    </row>
    <row r="138" spans="1:1">
      <c r="A138" s="181"/>
    </row>
    <row r="139" spans="1:1">
      <c r="A139" s="181"/>
    </row>
    <row r="140" spans="1:1">
      <c r="A140" s="181"/>
    </row>
    <row r="141" spans="1:1">
      <c r="A141" s="181"/>
    </row>
    <row r="142" spans="1:1">
      <c r="A142" s="181"/>
    </row>
    <row r="143" spans="1:1">
      <c r="A143" s="181"/>
    </row>
    <row r="144" spans="1:1">
      <c r="A144" s="181"/>
    </row>
    <row r="145" spans="1:1">
      <c r="A145" s="181"/>
    </row>
    <row r="146" spans="1:1">
      <c r="A146" s="181"/>
    </row>
    <row r="147" spans="1:1">
      <c r="A147" s="181"/>
    </row>
    <row r="148" spans="1:1">
      <c r="A148" s="181"/>
    </row>
    <row r="149" spans="1:1">
      <c r="A149" s="181"/>
    </row>
    <row r="150" spans="1:1">
      <c r="A150" s="181"/>
    </row>
    <row r="151" spans="1:1">
      <c r="A151" s="181"/>
    </row>
    <row r="152" spans="1:1">
      <c r="A152" s="181"/>
    </row>
    <row r="153" spans="1:1">
      <c r="A153" s="181"/>
    </row>
    <row r="154" spans="1:1">
      <c r="A154" s="181"/>
    </row>
    <row r="155" spans="1:1">
      <c r="A155" s="181"/>
    </row>
    <row r="156" spans="1:1">
      <c r="A156" s="181"/>
    </row>
    <row r="157" spans="1:1">
      <c r="A157" s="181"/>
    </row>
    <row r="158" spans="1:1">
      <c r="A158" s="181"/>
    </row>
    <row r="159" spans="1:1">
      <c r="A159" s="181"/>
    </row>
    <row r="160" spans="1:1">
      <c r="A160" s="181"/>
    </row>
    <row r="161" spans="1:1">
      <c r="A161" s="181"/>
    </row>
    <row r="162" spans="1:1">
      <c r="A162" s="181"/>
    </row>
    <row r="163" spans="1:1">
      <c r="A163" s="181"/>
    </row>
    <row r="164" spans="1:1">
      <c r="A164" s="181"/>
    </row>
    <row r="165" spans="1:1">
      <c r="A165" s="181"/>
    </row>
    <row r="166" spans="1:1">
      <c r="A166" s="181"/>
    </row>
    <row r="167" spans="1:1">
      <c r="A167" s="181"/>
    </row>
    <row r="168" spans="1:1">
      <c r="A168" s="181"/>
    </row>
    <row r="169" spans="1:1">
      <c r="A169" s="181"/>
    </row>
    <row r="170" spans="1:1">
      <c r="A170" s="181"/>
    </row>
    <row r="171" spans="1:1">
      <c r="A171" s="181"/>
    </row>
    <row r="172" spans="1:1">
      <c r="A172" s="181"/>
    </row>
    <row r="173" spans="1:1">
      <c r="A173" s="181"/>
    </row>
    <row r="174" spans="1:1">
      <c r="A174" s="181"/>
    </row>
    <row r="175" spans="1:1">
      <c r="A175" s="181"/>
    </row>
    <row r="176" spans="1:1">
      <c r="A176" s="181"/>
    </row>
    <row r="177" spans="1:1">
      <c r="A177" s="181"/>
    </row>
    <row r="178" spans="1:1">
      <c r="A178" s="181"/>
    </row>
    <row r="179" spans="1:1">
      <c r="A179" s="181"/>
    </row>
    <row r="180" spans="1:1">
      <c r="A180" s="181"/>
    </row>
    <row r="181" spans="1:1">
      <c r="A181" s="181"/>
    </row>
    <row r="182" spans="1:1">
      <c r="A182" s="181"/>
    </row>
    <row r="183" spans="1:1">
      <c r="A183" s="181"/>
    </row>
    <row r="184" spans="1:1">
      <c r="A184" s="181"/>
    </row>
    <row r="185" spans="1:1">
      <c r="A185" s="181"/>
    </row>
    <row r="186" spans="1:1">
      <c r="A186" s="181"/>
    </row>
    <row r="187" spans="1:1">
      <c r="A187" s="181"/>
    </row>
    <row r="188" spans="1:1">
      <c r="A188" s="181"/>
    </row>
    <row r="189" spans="1:1">
      <c r="A189" s="181"/>
    </row>
    <row r="190" spans="1:1">
      <c r="A190" s="181"/>
    </row>
    <row r="191" spans="1:1">
      <c r="A191" s="181"/>
    </row>
    <row r="192" spans="1:1">
      <c r="A192" s="181"/>
    </row>
    <row r="193" spans="1:1">
      <c r="A193" s="181"/>
    </row>
    <row r="194" spans="1:1">
      <c r="A194" s="181"/>
    </row>
    <row r="195" spans="1:1">
      <c r="A195" s="181"/>
    </row>
    <row r="196" spans="1:1">
      <c r="A196" s="181"/>
    </row>
    <row r="197" spans="1:1">
      <c r="A197" s="181"/>
    </row>
    <row r="198" spans="1:1">
      <c r="A198" s="181"/>
    </row>
    <row r="199" spans="1:1">
      <c r="A199" s="181"/>
    </row>
    <row r="200" spans="1:1">
      <c r="A200" s="181"/>
    </row>
    <row r="201" spans="1:1">
      <c r="A201" s="181"/>
    </row>
    <row r="202" spans="1:1">
      <c r="A202" s="181"/>
    </row>
    <row r="203" spans="1:1">
      <c r="A203" s="181"/>
    </row>
    <row r="204" spans="1:1">
      <c r="A204" s="181"/>
    </row>
    <row r="205" spans="1:1">
      <c r="A205" s="181"/>
    </row>
    <row r="206" spans="1:1">
      <c r="A206" s="181"/>
    </row>
    <row r="207" spans="1:1">
      <c r="A207" s="181"/>
    </row>
    <row r="208" spans="1:1">
      <c r="A208" s="181"/>
    </row>
    <row r="209" spans="1:1">
      <c r="A209" s="181"/>
    </row>
    <row r="210" spans="1:1">
      <c r="A210" s="181"/>
    </row>
    <row r="211" spans="1:1">
      <c r="A211" s="181"/>
    </row>
    <row r="212" spans="1:1">
      <c r="A212" s="181"/>
    </row>
    <row r="213" spans="1:1">
      <c r="A213" s="181"/>
    </row>
    <row r="214" spans="1:1">
      <c r="A214" s="181"/>
    </row>
    <row r="215" spans="1:1">
      <c r="A215" s="181"/>
    </row>
    <row r="216" spans="1:1">
      <c r="A216" s="181"/>
    </row>
    <row r="217" spans="1:1">
      <c r="A217" s="181"/>
    </row>
    <row r="218" spans="1:1">
      <c r="A218" s="181"/>
    </row>
    <row r="219" spans="1:1">
      <c r="A219" s="181"/>
    </row>
    <row r="220" spans="1:1">
      <c r="A220" s="181"/>
    </row>
    <row r="221" spans="1:1">
      <c r="A221" s="181"/>
    </row>
    <row r="222" spans="1:1">
      <c r="A222" s="181"/>
    </row>
    <row r="223" spans="1:1">
      <c r="A223" s="181"/>
    </row>
    <row r="224" spans="1:1">
      <c r="A224" s="181"/>
    </row>
    <row r="225" spans="1:1">
      <c r="A225" s="181"/>
    </row>
    <row r="226" spans="1:1">
      <c r="A226" s="181"/>
    </row>
    <row r="227" spans="1:1">
      <c r="A227" s="181"/>
    </row>
    <row r="228" spans="1:1">
      <c r="A228" s="181"/>
    </row>
    <row r="229" spans="1:1">
      <c r="A229" s="181"/>
    </row>
    <row r="230" spans="1:1">
      <c r="A230" s="181"/>
    </row>
    <row r="231" spans="1:1">
      <c r="A231" s="181"/>
    </row>
    <row r="232" spans="1:1">
      <c r="A232" s="181"/>
    </row>
    <row r="233" spans="1:1">
      <c r="A233" s="181"/>
    </row>
    <row r="234" spans="1:1">
      <c r="A234" s="181"/>
    </row>
    <row r="235" spans="1:1">
      <c r="A235" s="181"/>
    </row>
    <row r="236" spans="1:1">
      <c r="A236" s="181"/>
    </row>
    <row r="237" spans="1:1">
      <c r="A237" s="181"/>
    </row>
    <row r="238" spans="1:1">
      <c r="A238" s="181"/>
    </row>
    <row r="239" spans="1:1">
      <c r="A239" s="181"/>
    </row>
    <row r="240" spans="1:1">
      <c r="A240" s="181"/>
    </row>
    <row r="241" spans="1:1">
      <c r="A241" s="181"/>
    </row>
    <row r="242" spans="1:1">
      <c r="A242" s="181"/>
    </row>
    <row r="243" spans="1:1">
      <c r="A243" s="181"/>
    </row>
    <row r="244" spans="1:1">
      <c r="A244" s="181"/>
    </row>
    <row r="245" spans="1:1">
      <c r="A245" s="181"/>
    </row>
    <row r="246" spans="1:1">
      <c r="A246" s="181"/>
    </row>
    <row r="247" spans="1:1">
      <c r="A247" s="181"/>
    </row>
  </sheetData>
  <mergeCells count="7">
    <mergeCell ref="C108:D108"/>
    <mergeCell ref="F108:G108"/>
    <mergeCell ref="A2:G2"/>
    <mergeCell ref="A6:G6"/>
    <mergeCell ref="A74:G74"/>
    <mergeCell ref="C107:D107"/>
    <mergeCell ref="F107:G107"/>
  </mergeCells>
  <pageMargins left="0.59055118110236227" right="0.59055118110236227" top="0.98425196850393704" bottom="0.59055118110236227" header="0.31496062992125984" footer="0.19685039370078741"/>
  <pageSetup paperSize="9" scale="88" fitToHeight="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J198"/>
  <sheetViews>
    <sheetView zoomScale="70" zoomScaleNormal="70" zoomScaleSheetLayoutView="75" workbookViewId="0">
      <pane xSplit="2" ySplit="5" topLeftCell="C18" activePane="bottomRight" state="frozen"/>
      <selection pane="topRight" activeCell="C1" sqref="C1"/>
      <selection pane="bottomLeft" activeCell="A5" sqref="A5"/>
      <selection pane="bottomRight" activeCell="K41" sqref="K41"/>
    </sheetView>
  </sheetViews>
  <sheetFormatPr defaultColWidth="9.109375" defaultRowHeight="18"/>
  <cols>
    <col min="1" max="1" width="85" style="193" customWidth="1"/>
    <col min="2" max="2" width="15.33203125" style="12" customWidth="1"/>
    <col min="3" max="6" width="18.6640625" style="12" customWidth="1"/>
    <col min="7" max="7" width="15.5546875" style="12" customWidth="1"/>
    <col min="8" max="8" width="15" style="12" customWidth="1"/>
    <col min="9" max="9" width="10" style="193" customWidth="1"/>
    <col min="10" max="10" width="9.5546875" style="193" customWidth="1"/>
    <col min="11" max="16384" width="9.109375" style="193"/>
  </cols>
  <sheetData>
    <row r="1" spans="1:8">
      <c r="H1" s="194" t="s">
        <v>343</v>
      </c>
    </row>
    <row r="2" spans="1:8" ht="22.8">
      <c r="A2" s="472" t="s">
        <v>103</v>
      </c>
      <c r="B2" s="472"/>
      <c r="C2" s="472"/>
      <c r="D2" s="472"/>
      <c r="E2" s="472"/>
      <c r="F2" s="472"/>
      <c r="G2" s="472"/>
      <c r="H2" s="472"/>
    </row>
    <row r="3" spans="1:8">
      <c r="A3" s="477" t="s">
        <v>366</v>
      </c>
      <c r="B3" s="477"/>
      <c r="C3" s="477"/>
      <c r="D3" s="477"/>
      <c r="E3" s="477"/>
      <c r="F3" s="477"/>
      <c r="G3" s="477"/>
      <c r="H3" s="477"/>
    </row>
    <row r="4" spans="1:8" ht="43.5" customHeight="1">
      <c r="A4" s="478" t="s">
        <v>153</v>
      </c>
      <c r="B4" s="479" t="s">
        <v>18</v>
      </c>
      <c r="C4" s="480" t="s">
        <v>329</v>
      </c>
      <c r="D4" s="481"/>
      <c r="E4" s="482" t="s">
        <v>427</v>
      </c>
      <c r="F4" s="483"/>
      <c r="G4" s="483"/>
      <c r="H4" s="484"/>
    </row>
    <row r="5" spans="1:8" ht="49.5" customHeight="1">
      <c r="A5" s="478"/>
      <c r="B5" s="479"/>
      <c r="C5" s="346" t="s">
        <v>428</v>
      </c>
      <c r="D5" s="346" t="s">
        <v>429</v>
      </c>
      <c r="E5" s="346" t="s">
        <v>144</v>
      </c>
      <c r="F5" s="346" t="s">
        <v>140</v>
      </c>
      <c r="G5" s="163" t="s">
        <v>150</v>
      </c>
      <c r="H5" s="163" t="s">
        <v>151</v>
      </c>
    </row>
    <row r="6" spans="1:8">
      <c r="A6" s="328">
        <v>1</v>
      </c>
      <c r="B6" s="329">
        <v>2</v>
      </c>
      <c r="C6" s="328">
        <v>3</v>
      </c>
      <c r="D6" s="329">
        <v>4</v>
      </c>
      <c r="E6" s="328">
        <v>5</v>
      </c>
      <c r="F6" s="329">
        <v>6</v>
      </c>
      <c r="G6" s="328">
        <v>7</v>
      </c>
      <c r="H6" s="329">
        <v>8</v>
      </c>
    </row>
    <row r="7" spans="1:8" s="250" customFormat="1" ht="26.4" customHeight="1">
      <c r="A7" s="474" t="s">
        <v>102</v>
      </c>
      <c r="B7" s="475"/>
      <c r="C7" s="475"/>
      <c r="D7" s="475"/>
      <c r="E7" s="475"/>
      <c r="F7" s="475"/>
      <c r="G7" s="475"/>
      <c r="H7" s="476"/>
    </row>
    <row r="8" spans="1:8" s="250" customFormat="1" ht="42.75" customHeight="1">
      <c r="A8" s="251" t="s">
        <v>51</v>
      </c>
      <c r="B8" s="252">
        <v>2000</v>
      </c>
      <c r="C8" s="253">
        <v>-114960</v>
      </c>
      <c r="D8" s="375">
        <v>-132031</v>
      </c>
      <c r="E8" s="253">
        <v>-136180</v>
      </c>
      <c r="F8" s="253">
        <f>D8</f>
        <v>-132031</v>
      </c>
      <c r="G8" s="253" t="s">
        <v>31</v>
      </c>
      <c r="H8" s="254" t="s">
        <v>31</v>
      </c>
    </row>
    <row r="9" spans="1:8" s="250" customFormat="1" ht="36">
      <c r="A9" s="255" t="s">
        <v>207</v>
      </c>
      <c r="B9" s="256">
        <v>2010</v>
      </c>
      <c r="C9" s="257">
        <f>SUM(C10:C10)</f>
        <v>0</v>
      </c>
      <c r="D9" s="376">
        <f>SUM(D10:D10)</f>
        <v>0</v>
      </c>
      <c r="E9" s="257">
        <f>SUM(E10:E10)</f>
        <v>0</v>
      </c>
      <c r="F9" s="257">
        <f>SUM(F10:F10)</f>
        <v>0</v>
      </c>
      <c r="G9" s="257">
        <f t="shared" ref="G9:G11" si="0">F9-E9</f>
        <v>0</v>
      </c>
      <c r="H9" s="258"/>
    </row>
    <row r="10" spans="1:8" s="250" customFormat="1" ht="39.75" customHeight="1">
      <c r="A10" s="225" t="s">
        <v>557</v>
      </c>
      <c r="B10" s="256">
        <v>2011</v>
      </c>
      <c r="C10" s="257" t="s">
        <v>185</v>
      </c>
      <c r="D10" s="376" t="s">
        <v>185</v>
      </c>
      <c r="E10" s="257" t="s">
        <v>185</v>
      </c>
      <c r="F10" s="257" t="s">
        <v>185</v>
      </c>
      <c r="G10" s="257"/>
      <c r="H10" s="258"/>
    </row>
    <row r="11" spans="1:8" s="250" customFormat="1" ht="22.95" customHeight="1">
      <c r="A11" s="225" t="s">
        <v>117</v>
      </c>
      <c r="B11" s="256">
        <v>2020</v>
      </c>
      <c r="C11" s="257"/>
      <c r="D11" s="376"/>
      <c r="E11" s="257"/>
      <c r="F11" s="257"/>
      <c r="G11" s="257">
        <f t="shared" si="0"/>
        <v>0</v>
      </c>
      <c r="H11" s="258"/>
    </row>
    <row r="12" spans="1:8" s="250" customFormat="1" ht="26.4" customHeight="1">
      <c r="A12" s="225" t="s">
        <v>60</v>
      </c>
      <c r="B12" s="256">
        <v>2030</v>
      </c>
      <c r="C12" s="257" t="s">
        <v>185</v>
      </c>
      <c r="D12" s="376" t="s">
        <v>185</v>
      </c>
      <c r="E12" s="257" t="s">
        <v>185</v>
      </c>
      <c r="F12" s="257" t="s">
        <v>185</v>
      </c>
      <c r="G12" s="257"/>
      <c r="H12" s="258"/>
    </row>
    <row r="13" spans="1:8" s="250" customFormat="1" ht="25.95" customHeight="1">
      <c r="A13" s="225" t="s">
        <v>96</v>
      </c>
      <c r="B13" s="256">
        <v>2031</v>
      </c>
      <c r="C13" s="257" t="s">
        <v>185</v>
      </c>
      <c r="D13" s="376" t="s">
        <v>185</v>
      </c>
      <c r="E13" s="257" t="s">
        <v>185</v>
      </c>
      <c r="F13" s="257" t="s">
        <v>185</v>
      </c>
      <c r="G13" s="257"/>
      <c r="H13" s="258"/>
    </row>
    <row r="14" spans="1:8" s="250" customFormat="1" ht="26.4" customHeight="1">
      <c r="A14" s="225" t="s">
        <v>26</v>
      </c>
      <c r="B14" s="256">
        <v>2040</v>
      </c>
      <c r="C14" s="257" t="s">
        <v>185</v>
      </c>
      <c r="D14" s="376" t="s">
        <v>185</v>
      </c>
      <c r="E14" s="257" t="s">
        <v>185</v>
      </c>
      <c r="F14" s="257" t="s">
        <v>185</v>
      </c>
      <c r="G14" s="257"/>
      <c r="H14" s="258"/>
    </row>
    <row r="15" spans="1:8" s="250" customFormat="1" ht="26.4" customHeight="1">
      <c r="A15" s="225" t="s">
        <v>87</v>
      </c>
      <c r="B15" s="256">
        <v>2050</v>
      </c>
      <c r="C15" s="257" t="s">
        <v>185</v>
      </c>
      <c r="D15" s="376" t="s">
        <v>185</v>
      </c>
      <c r="E15" s="257" t="s">
        <v>185</v>
      </c>
      <c r="F15" s="257" t="s">
        <v>185</v>
      </c>
      <c r="G15" s="257"/>
      <c r="H15" s="258"/>
    </row>
    <row r="16" spans="1:8" s="250" customFormat="1" ht="21.6" customHeight="1">
      <c r="A16" s="225" t="s">
        <v>558</v>
      </c>
      <c r="B16" s="256">
        <v>2060</v>
      </c>
      <c r="C16" s="257">
        <v>47</v>
      </c>
      <c r="D16" s="412">
        <v>-90</v>
      </c>
      <c r="E16" s="257">
        <v>0</v>
      </c>
      <c r="F16" s="257">
        <f>D16</f>
        <v>-90</v>
      </c>
      <c r="G16" s="257">
        <f>F16-E16</f>
        <v>-90</v>
      </c>
      <c r="H16" s="258"/>
    </row>
    <row r="17" spans="1:8" s="250" customFormat="1" ht="41.4" customHeight="1">
      <c r="A17" s="251" t="s">
        <v>52</v>
      </c>
      <c r="B17" s="252">
        <v>2070</v>
      </c>
      <c r="C17" s="377">
        <f>SUM(C8,C9,C11,C12,C14,C15,C16)+'I. Фін результат'!C75</f>
        <v>-132031</v>
      </c>
      <c r="D17" s="415">
        <f>SUM(D8,D9,D11,D12,D14,D15,D16)+'I. Фін результат'!D75</f>
        <v>-147877.99999999988</v>
      </c>
      <c r="E17" s="377">
        <f>SUM(E8,E9,E11,E12,E14,E15,E16)+'I. Фін результат'!E75</f>
        <v>-136180</v>
      </c>
      <c r="F17" s="253">
        <f>D17</f>
        <v>-147877.99999999988</v>
      </c>
      <c r="G17" s="253" t="s">
        <v>31</v>
      </c>
      <c r="H17" s="254" t="s">
        <v>31</v>
      </c>
    </row>
    <row r="18" spans="1:8" s="250" customFormat="1" ht="26.4" customHeight="1">
      <c r="A18" s="474" t="s">
        <v>355</v>
      </c>
      <c r="B18" s="475"/>
      <c r="C18" s="475"/>
      <c r="D18" s="475"/>
      <c r="E18" s="475"/>
      <c r="F18" s="475"/>
      <c r="G18" s="475"/>
      <c r="H18" s="476"/>
    </row>
    <row r="19" spans="1:8" s="250" customFormat="1" ht="39.6" customHeight="1">
      <c r="A19" s="251" t="s">
        <v>356</v>
      </c>
      <c r="B19" s="252">
        <v>2110</v>
      </c>
      <c r="C19" s="253">
        <f>SUM(C20:C26)</f>
        <v>4452.8999999999996</v>
      </c>
      <c r="D19" s="253">
        <f>SUM(D20:D26)</f>
        <v>5028</v>
      </c>
      <c r="E19" s="253">
        <f>SUM(E20:E26)</f>
        <v>5931</v>
      </c>
      <c r="F19" s="253">
        <f>SUM(F20:F26)</f>
        <v>5028</v>
      </c>
      <c r="G19" s="253">
        <f>F19-E19</f>
        <v>-903</v>
      </c>
      <c r="H19" s="254">
        <f t="shared" ref="H19:H39" si="1">(F19/E19)*100</f>
        <v>84.774911482043507</v>
      </c>
    </row>
    <row r="20" spans="1:8" s="250" customFormat="1" ht="27.6" customHeight="1">
      <c r="A20" s="225" t="s">
        <v>285</v>
      </c>
      <c r="B20" s="256">
        <v>2111</v>
      </c>
      <c r="C20" s="257">
        <v>427.7</v>
      </c>
      <c r="D20" s="376">
        <v>559.4</v>
      </c>
      <c r="E20" s="257">
        <v>900</v>
      </c>
      <c r="F20" s="257">
        <f>D20</f>
        <v>559.4</v>
      </c>
      <c r="G20" s="257">
        <f>F20-E20</f>
        <v>-340.6</v>
      </c>
      <c r="H20" s="258">
        <f t="shared" si="1"/>
        <v>62.155555555555551</v>
      </c>
    </row>
    <row r="21" spans="1:8" s="250" customFormat="1" ht="38.4" customHeight="1">
      <c r="A21" s="225" t="s">
        <v>286</v>
      </c>
      <c r="B21" s="256">
        <v>2112</v>
      </c>
      <c r="C21" s="257" t="s">
        <v>185</v>
      </c>
      <c r="D21" s="376" t="s">
        <v>185</v>
      </c>
      <c r="E21" s="257" t="s">
        <v>185</v>
      </c>
      <c r="F21" s="257" t="str">
        <f t="shared" ref="F21:F26" si="2">D21</f>
        <v>(    )</v>
      </c>
      <c r="G21" s="259" t="s">
        <v>423</v>
      </c>
      <c r="H21" s="258" t="s">
        <v>423</v>
      </c>
    </row>
    <row r="22" spans="1:8" s="250" customFormat="1" ht="20.399999999999999" customHeight="1">
      <c r="A22" s="225" t="s">
        <v>70</v>
      </c>
      <c r="B22" s="256">
        <v>2113</v>
      </c>
      <c r="C22" s="257"/>
      <c r="D22" s="376"/>
      <c r="E22" s="257"/>
      <c r="F22" s="257">
        <f t="shared" si="2"/>
        <v>0</v>
      </c>
      <c r="G22" s="257">
        <f>F22-E22</f>
        <v>0</v>
      </c>
      <c r="H22" s="258" t="s">
        <v>423</v>
      </c>
    </row>
    <row r="23" spans="1:8" s="250" customFormat="1" ht="22.2" customHeight="1">
      <c r="A23" s="225" t="s">
        <v>78</v>
      </c>
      <c r="B23" s="256">
        <v>2114</v>
      </c>
      <c r="C23" s="257"/>
      <c r="D23" s="376"/>
      <c r="E23" s="257"/>
      <c r="F23" s="257">
        <f t="shared" si="2"/>
        <v>0</v>
      </c>
      <c r="G23" s="257">
        <f t="shared" ref="G23:G43" si="3">F23-E23</f>
        <v>0</v>
      </c>
      <c r="H23" s="258" t="s">
        <v>423</v>
      </c>
    </row>
    <row r="24" spans="1:8" s="250" customFormat="1" ht="25.5" customHeight="1">
      <c r="A24" s="225" t="s">
        <v>294</v>
      </c>
      <c r="B24" s="256">
        <v>2115</v>
      </c>
      <c r="C24" s="257"/>
      <c r="D24" s="376"/>
      <c r="E24" s="257"/>
      <c r="F24" s="257">
        <f t="shared" si="2"/>
        <v>0</v>
      </c>
      <c r="G24" s="257">
        <f t="shared" si="3"/>
        <v>0</v>
      </c>
      <c r="H24" s="258" t="s">
        <v>423</v>
      </c>
    </row>
    <row r="25" spans="1:8" s="250" customFormat="1" ht="22.95" customHeight="1">
      <c r="A25" s="225" t="s">
        <v>364</v>
      </c>
      <c r="B25" s="256">
        <v>2116</v>
      </c>
      <c r="C25" s="257">
        <v>4025.2</v>
      </c>
      <c r="D25" s="376">
        <v>4468.6000000000004</v>
      </c>
      <c r="E25" s="257">
        <v>5031</v>
      </c>
      <c r="F25" s="257">
        <f t="shared" si="2"/>
        <v>4468.6000000000004</v>
      </c>
      <c r="G25" s="257">
        <f t="shared" si="3"/>
        <v>-562.39999999999964</v>
      </c>
      <c r="H25" s="258">
        <f t="shared" si="1"/>
        <v>88.821307891075335</v>
      </c>
    </row>
    <row r="26" spans="1:8" s="250" customFormat="1" ht="24" customHeight="1">
      <c r="A26" s="225" t="s">
        <v>287</v>
      </c>
      <c r="B26" s="256">
        <v>2117</v>
      </c>
      <c r="C26" s="257"/>
      <c r="D26" s="376"/>
      <c r="E26" s="257"/>
      <c r="F26" s="257">
        <f t="shared" si="2"/>
        <v>0</v>
      </c>
      <c r="G26" s="257">
        <f t="shared" si="3"/>
        <v>0</v>
      </c>
      <c r="H26" s="258" t="s">
        <v>423</v>
      </c>
    </row>
    <row r="27" spans="1:8" s="250" customFormat="1" ht="36.6" customHeight="1">
      <c r="A27" s="251" t="s">
        <v>365</v>
      </c>
      <c r="B27" s="260">
        <v>2120</v>
      </c>
      <c r="C27" s="253">
        <f>SUM(C28:C35)</f>
        <v>48359.700000000004</v>
      </c>
      <c r="D27" s="253">
        <f t="shared" ref="D27:G27" si="4">SUM(D28:D35)</f>
        <v>53635.100000000006</v>
      </c>
      <c r="E27" s="253">
        <f t="shared" si="4"/>
        <v>60383</v>
      </c>
      <c r="F27" s="253">
        <f t="shared" si="4"/>
        <v>53635.100000000006</v>
      </c>
      <c r="G27" s="253">
        <f t="shared" si="4"/>
        <v>-6747.8999999999969</v>
      </c>
      <c r="H27" s="254">
        <f t="shared" si="1"/>
        <v>88.824834804497968</v>
      </c>
    </row>
    <row r="28" spans="1:8" s="250" customFormat="1" ht="22.95" customHeight="1">
      <c r="A28" s="255" t="s">
        <v>214</v>
      </c>
      <c r="B28" s="261">
        <v>2121</v>
      </c>
      <c r="C28" s="257"/>
      <c r="D28" s="376"/>
      <c r="E28" s="257"/>
      <c r="F28" s="257">
        <f>D28</f>
        <v>0</v>
      </c>
      <c r="G28" s="257">
        <f t="shared" ref="G28:G34" si="5">F28-E28</f>
        <v>0</v>
      </c>
      <c r="H28" s="258" t="s">
        <v>423</v>
      </c>
    </row>
    <row r="29" spans="1:8" s="250" customFormat="1" ht="21" customHeight="1">
      <c r="A29" s="225" t="s">
        <v>69</v>
      </c>
      <c r="B29" s="256">
        <v>2122</v>
      </c>
      <c r="C29" s="257">
        <v>48286.5</v>
      </c>
      <c r="D29" s="376">
        <v>53620.800000000003</v>
      </c>
      <c r="E29" s="257">
        <v>60370</v>
      </c>
      <c r="F29" s="257">
        <f t="shared" ref="F29:F35" si="6">D29</f>
        <v>53620.800000000003</v>
      </c>
      <c r="G29" s="257">
        <f t="shared" si="5"/>
        <v>-6749.1999999999971</v>
      </c>
      <c r="H29" s="258">
        <f t="shared" si="1"/>
        <v>88.820274971012097</v>
      </c>
    </row>
    <row r="30" spans="1:8" s="250" customFormat="1" ht="21" customHeight="1">
      <c r="A30" s="225" t="s">
        <v>70</v>
      </c>
      <c r="B30" s="256">
        <v>2123</v>
      </c>
      <c r="C30" s="257"/>
      <c r="D30" s="376"/>
      <c r="E30" s="257"/>
      <c r="F30" s="257">
        <f t="shared" si="6"/>
        <v>0</v>
      </c>
      <c r="G30" s="257">
        <f t="shared" si="5"/>
        <v>0</v>
      </c>
      <c r="H30" s="258" t="s">
        <v>423</v>
      </c>
    </row>
    <row r="31" spans="1:8" s="250" customFormat="1" ht="21" customHeight="1">
      <c r="A31" s="225" t="s">
        <v>288</v>
      </c>
      <c r="B31" s="256">
        <v>2124</v>
      </c>
      <c r="C31" s="257">
        <v>69.900000000000006</v>
      </c>
      <c r="D31" s="376">
        <v>10</v>
      </c>
      <c r="E31" s="257">
        <v>11</v>
      </c>
      <c r="F31" s="257">
        <f t="shared" si="6"/>
        <v>10</v>
      </c>
      <c r="G31" s="257">
        <f>F31-E31</f>
        <v>-1</v>
      </c>
      <c r="H31" s="258">
        <f t="shared" si="1"/>
        <v>90.909090909090907</v>
      </c>
    </row>
    <row r="32" spans="1:8" s="250" customFormat="1" ht="21" customHeight="1">
      <c r="A32" s="225" t="s">
        <v>289</v>
      </c>
      <c r="B32" s="256">
        <v>2125</v>
      </c>
      <c r="C32" s="257"/>
      <c r="D32" s="376"/>
      <c r="E32" s="257"/>
      <c r="F32" s="257">
        <f t="shared" si="6"/>
        <v>0</v>
      </c>
      <c r="G32" s="257">
        <f t="shared" si="5"/>
        <v>0</v>
      </c>
      <c r="H32" s="258" t="s">
        <v>423</v>
      </c>
    </row>
    <row r="33" spans="1:9" s="250" customFormat="1" ht="59.25" customHeight="1">
      <c r="A33" s="225" t="s">
        <v>559</v>
      </c>
      <c r="B33" s="256">
        <v>2126</v>
      </c>
      <c r="C33" s="257"/>
      <c r="D33" s="376"/>
      <c r="E33" s="257"/>
      <c r="F33" s="257">
        <f t="shared" si="6"/>
        <v>0</v>
      </c>
      <c r="G33" s="257">
        <f t="shared" si="5"/>
        <v>0</v>
      </c>
      <c r="H33" s="258" t="s">
        <v>423</v>
      </c>
    </row>
    <row r="34" spans="1:9" s="250" customFormat="1" ht="22.95" customHeight="1">
      <c r="A34" s="225" t="s">
        <v>294</v>
      </c>
      <c r="B34" s="256">
        <v>2127</v>
      </c>
      <c r="C34" s="257"/>
      <c r="D34" s="376"/>
      <c r="E34" s="257"/>
      <c r="F34" s="257">
        <f t="shared" si="6"/>
        <v>0</v>
      </c>
      <c r="G34" s="257">
        <f t="shared" si="5"/>
        <v>0</v>
      </c>
      <c r="H34" s="258" t="s">
        <v>423</v>
      </c>
    </row>
    <row r="35" spans="1:9" s="250" customFormat="1" ht="25.5" customHeight="1">
      <c r="A35" s="225" t="s">
        <v>560</v>
      </c>
      <c r="B35" s="256">
        <v>2128</v>
      </c>
      <c r="C35" s="257">
        <v>3.3</v>
      </c>
      <c r="D35" s="376">
        <v>4.3</v>
      </c>
      <c r="E35" s="257">
        <v>2</v>
      </c>
      <c r="F35" s="257">
        <f t="shared" si="6"/>
        <v>4.3</v>
      </c>
      <c r="G35" s="257">
        <f>F35-E35</f>
        <v>2.2999999999999998</v>
      </c>
      <c r="H35" s="258">
        <f t="shared" si="1"/>
        <v>215</v>
      </c>
    </row>
    <row r="36" spans="1:9" s="250" customFormat="1" ht="34.5" customHeight="1">
      <c r="A36" s="251" t="s">
        <v>402</v>
      </c>
      <c r="B36" s="260">
        <v>2130</v>
      </c>
      <c r="C36" s="253">
        <f>SUM(C37:C39)</f>
        <v>56122.799999999996</v>
      </c>
      <c r="D36" s="253">
        <f>SUM(D37:D39)</f>
        <v>62381.100000000006</v>
      </c>
      <c r="E36" s="253">
        <f>SUM(E37:E39)</f>
        <v>73825</v>
      </c>
      <c r="F36" s="253">
        <f>SUM(F37:F39)</f>
        <v>62381.100000000006</v>
      </c>
      <c r="G36" s="253">
        <f t="shared" si="3"/>
        <v>-11443.899999999994</v>
      </c>
      <c r="H36" s="254">
        <f t="shared" si="1"/>
        <v>84.498611581442603</v>
      </c>
    </row>
    <row r="37" spans="1:9" s="250" customFormat="1" ht="21" customHeight="1">
      <c r="A37" s="225" t="s">
        <v>290</v>
      </c>
      <c r="B37" s="256">
        <v>2131</v>
      </c>
      <c r="C37" s="257"/>
      <c r="D37" s="376"/>
      <c r="E37" s="257"/>
      <c r="F37" s="257">
        <f>D37</f>
        <v>0</v>
      </c>
      <c r="G37" s="257">
        <f t="shared" si="3"/>
        <v>0</v>
      </c>
      <c r="H37" s="258" t="s">
        <v>423</v>
      </c>
    </row>
    <row r="38" spans="1:9" s="250" customFormat="1" ht="25.5" customHeight="1">
      <c r="A38" s="225" t="s">
        <v>291</v>
      </c>
      <c r="B38" s="256">
        <v>2132</v>
      </c>
      <c r="C38" s="257">
        <v>56095.199999999997</v>
      </c>
      <c r="D38" s="412">
        <v>62343.8</v>
      </c>
      <c r="E38" s="257">
        <v>73785.5</v>
      </c>
      <c r="F38" s="257">
        <f t="shared" ref="F38:F42" si="7">D38</f>
        <v>62343.8</v>
      </c>
      <c r="G38" s="257">
        <f t="shared" si="3"/>
        <v>-11441.699999999997</v>
      </c>
      <c r="H38" s="258">
        <f t="shared" si="1"/>
        <v>84.493294753034135</v>
      </c>
      <c r="I38" s="250" t="s">
        <v>832</v>
      </c>
    </row>
    <row r="39" spans="1:9" s="250" customFormat="1" ht="25.5" customHeight="1">
      <c r="A39" s="225" t="s">
        <v>561</v>
      </c>
      <c r="B39" s="256">
        <v>2133</v>
      </c>
      <c r="C39" s="257">
        <v>27.6</v>
      </c>
      <c r="D39" s="376">
        <v>37.299999999999997</v>
      </c>
      <c r="E39" s="257">
        <v>39.5</v>
      </c>
      <c r="F39" s="257">
        <f t="shared" si="7"/>
        <v>37.299999999999997</v>
      </c>
      <c r="G39" s="257">
        <f t="shared" si="3"/>
        <v>-2.2000000000000028</v>
      </c>
      <c r="H39" s="258">
        <f t="shared" si="1"/>
        <v>94.430379746835442</v>
      </c>
    </row>
    <row r="40" spans="1:9" s="250" customFormat="1" ht="34.5" customHeight="1">
      <c r="A40" s="251" t="s">
        <v>292</v>
      </c>
      <c r="B40" s="260">
        <v>2140</v>
      </c>
      <c r="C40" s="253">
        <f>SUM(C41:C42)</f>
        <v>0</v>
      </c>
      <c r="D40" s="375">
        <f>SUM(D41:D42)</f>
        <v>0</v>
      </c>
      <c r="E40" s="253">
        <f>SUM(E41:E42)</f>
        <v>0</v>
      </c>
      <c r="F40" s="257">
        <f t="shared" si="7"/>
        <v>0</v>
      </c>
      <c r="G40" s="257">
        <f t="shared" si="3"/>
        <v>0</v>
      </c>
      <c r="H40" s="258" t="s">
        <v>423</v>
      </c>
    </row>
    <row r="41" spans="1:9" s="250" customFormat="1" ht="48" customHeight="1">
      <c r="A41" s="255" t="s">
        <v>97</v>
      </c>
      <c r="B41" s="261">
        <v>2141</v>
      </c>
      <c r="C41" s="257"/>
      <c r="D41" s="376"/>
      <c r="E41" s="257"/>
      <c r="F41" s="257">
        <f t="shared" si="7"/>
        <v>0</v>
      </c>
      <c r="G41" s="257">
        <f t="shared" si="3"/>
        <v>0</v>
      </c>
      <c r="H41" s="258" t="s">
        <v>423</v>
      </c>
    </row>
    <row r="42" spans="1:9" s="250" customFormat="1" ht="24.6" customHeight="1">
      <c r="A42" s="225" t="s">
        <v>431</v>
      </c>
      <c r="B42" s="256">
        <v>2142</v>
      </c>
      <c r="C42" s="257"/>
      <c r="D42" s="376"/>
      <c r="E42" s="257"/>
      <c r="F42" s="257">
        <f t="shared" si="7"/>
        <v>0</v>
      </c>
      <c r="G42" s="257">
        <f t="shared" si="3"/>
        <v>0</v>
      </c>
      <c r="H42" s="258" t="s">
        <v>423</v>
      </c>
    </row>
    <row r="43" spans="1:9" s="250" customFormat="1" ht="27" customHeight="1">
      <c r="A43" s="251" t="s">
        <v>336</v>
      </c>
      <c r="B43" s="260">
        <v>2200</v>
      </c>
      <c r="C43" s="253">
        <f>SUM(C19,C27,C36,C40)</f>
        <v>108935.4</v>
      </c>
      <c r="D43" s="253">
        <f>SUM(D19,D27,D36,D40)</f>
        <v>121044.20000000001</v>
      </c>
      <c r="E43" s="253">
        <f>SUM(E19,E27,E36,E40)</f>
        <v>140139</v>
      </c>
      <c r="F43" s="253">
        <f>SUM(F19,F27,F36,F40)</f>
        <v>121044.20000000001</v>
      </c>
      <c r="G43" s="253">
        <f t="shared" si="3"/>
        <v>-19094.799999999988</v>
      </c>
      <c r="H43" s="254">
        <f>(F43/E43)*100</f>
        <v>86.374385431607209</v>
      </c>
    </row>
    <row r="44" spans="1:9" s="264" customFormat="1">
      <c r="A44" s="262"/>
      <c r="B44" s="263"/>
      <c r="C44" s="263"/>
      <c r="D44" s="263"/>
      <c r="E44" s="263"/>
      <c r="F44" s="263"/>
      <c r="G44" s="263"/>
      <c r="H44" s="263"/>
    </row>
    <row r="45" spans="1:9" s="264" customFormat="1">
      <c r="A45" s="262"/>
      <c r="B45" s="263"/>
      <c r="C45" s="263"/>
      <c r="D45" s="263"/>
      <c r="E45" s="263"/>
      <c r="F45" s="263"/>
      <c r="G45" s="263"/>
      <c r="H45" s="263"/>
    </row>
    <row r="46" spans="1:9" s="264" customFormat="1">
      <c r="A46" s="262"/>
      <c r="B46" s="263"/>
      <c r="C46" s="263"/>
      <c r="D46" s="263"/>
      <c r="E46" s="263"/>
      <c r="F46" s="263"/>
      <c r="G46" s="263"/>
      <c r="H46" s="263"/>
    </row>
    <row r="47" spans="1:9" s="170" customFormat="1" ht="54" customHeight="1">
      <c r="A47" s="378" t="s">
        <v>554</v>
      </c>
      <c r="B47" s="248"/>
      <c r="C47" s="454"/>
      <c r="D47" s="454"/>
      <c r="E47" s="249"/>
      <c r="F47" s="485" t="s">
        <v>555</v>
      </c>
      <c r="G47" s="485"/>
      <c r="H47" s="96"/>
    </row>
    <row r="48" spans="1:9" s="347" customFormat="1" hidden="1">
      <c r="A48" s="171" t="s">
        <v>360</v>
      </c>
      <c r="B48" s="170"/>
      <c r="C48" s="473" t="s">
        <v>556</v>
      </c>
      <c r="D48" s="473"/>
      <c r="E48" s="170"/>
      <c r="F48" s="486" t="s">
        <v>76</v>
      </c>
      <c r="G48" s="486"/>
    </row>
    <row r="49" spans="1:10" s="12" customFormat="1">
      <c r="A49" s="13"/>
      <c r="I49" s="193"/>
      <c r="J49" s="193"/>
    </row>
    <row r="50" spans="1:10" s="12" customFormat="1">
      <c r="A50" s="13"/>
      <c r="I50" s="193"/>
      <c r="J50" s="193"/>
    </row>
    <row r="51" spans="1:10" s="12" customFormat="1">
      <c r="A51" s="13"/>
      <c r="I51" s="193"/>
      <c r="J51" s="193"/>
    </row>
    <row r="52" spans="1:10" s="12" customFormat="1">
      <c r="A52" s="13"/>
      <c r="I52" s="193"/>
      <c r="J52" s="193"/>
    </row>
    <row r="53" spans="1:10" s="12" customFormat="1">
      <c r="A53" s="13"/>
      <c r="I53" s="193"/>
      <c r="J53" s="193"/>
    </row>
    <row r="54" spans="1:10" s="12" customFormat="1">
      <c r="A54" s="13"/>
      <c r="I54" s="193"/>
      <c r="J54" s="193"/>
    </row>
    <row r="55" spans="1:10" s="12" customFormat="1">
      <c r="A55" s="13"/>
      <c r="I55" s="193"/>
      <c r="J55" s="193"/>
    </row>
    <row r="56" spans="1:10" s="12" customFormat="1">
      <c r="A56" s="13"/>
      <c r="I56" s="193"/>
      <c r="J56" s="193"/>
    </row>
    <row r="57" spans="1:10" s="12" customFormat="1">
      <c r="A57" s="13"/>
      <c r="I57" s="193"/>
      <c r="J57" s="193"/>
    </row>
    <row r="58" spans="1:10" s="12" customFormat="1">
      <c r="A58" s="13"/>
      <c r="I58" s="193"/>
      <c r="J58" s="193"/>
    </row>
    <row r="59" spans="1:10" s="12" customFormat="1">
      <c r="A59" s="13"/>
      <c r="I59" s="193"/>
      <c r="J59" s="193"/>
    </row>
    <row r="60" spans="1:10" s="12" customFormat="1">
      <c r="A60" s="13"/>
      <c r="I60" s="193"/>
      <c r="J60" s="193"/>
    </row>
    <row r="61" spans="1:10" s="12" customFormat="1">
      <c r="A61" s="13"/>
      <c r="I61" s="193"/>
      <c r="J61" s="193"/>
    </row>
    <row r="62" spans="1:10" s="12" customFormat="1">
      <c r="A62" s="13"/>
      <c r="I62" s="193"/>
      <c r="J62" s="193"/>
    </row>
    <row r="63" spans="1:10" s="12" customFormat="1">
      <c r="A63" s="13"/>
      <c r="I63" s="193"/>
      <c r="J63" s="193"/>
    </row>
    <row r="64" spans="1:10" s="12" customFormat="1">
      <c r="A64" s="13"/>
      <c r="I64" s="193"/>
      <c r="J64" s="193"/>
    </row>
    <row r="65" spans="1:10" s="12" customFormat="1">
      <c r="A65" s="13"/>
      <c r="I65" s="193"/>
      <c r="J65" s="193"/>
    </row>
    <row r="66" spans="1:10" s="12" customFormat="1">
      <c r="A66" s="13"/>
      <c r="I66" s="193"/>
      <c r="J66" s="193"/>
    </row>
    <row r="67" spans="1:10" s="12" customFormat="1">
      <c r="A67" s="13"/>
      <c r="I67" s="193"/>
      <c r="J67" s="193"/>
    </row>
    <row r="68" spans="1:10" s="12" customFormat="1">
      <c r="A68" s="13"/>
      <c r="I68" s="193"/>
      <c r="J68" s="193"/>
    </row>
    <row r="69" spans="1:10" s="12" customFormat="1">
      <c r="A69" s="13"/>
      <c r="I69" s="193"/>
      <c r="J69" s="193"/>
    </row>
    <row r="70" spans="1:10" s="12" customFormat="1">
      <c r="A70" s="13"/>
      <c r="I70" s="193"/>
      <c r="J70" s="193"/>
    </row>
    <row r="71" spans="1:10" s="12" customFormat="1">
      <c r="A71" s="13"/>
      <c r="I71" s="193"/>
      <c r="J71" s="193"/>
    </row>
    <row r="72" spans="1:10" s="12" customFormat="1">
      <c r="A72" s="13"/>
      <c r="I72" s="193"/>
      <c r="J72" s="193"/>
    </row>
    <row r="73" spans="1:10" s="12" customFormat="1">
      <c r="A73" s="13"/>
      <c r="I73" s="193"/>
      <c r="J73" s="193"/>
    </row>
    <row r="74" spans="1:10" s="12" customFormat="1">
      <c r="A74" s="13"/>
      <c r="I74" s="193"/>
      <c r="J74" s="193"/>
    </row>
    <row r="75" spans="1:10" s="12" customFormat="1">
      <c r="A75" s="13"/>
      <c r="I75" s="193"/>
      <c r="J75" s="193"/>
    </row>
    <row r="76" spans="1:10" s="12" customFormat="1">
      <c r="A76" s="13"/>
      <c r="I76" s="193"/>
      <c r="J76" s="193"/>
    </row>
    <row r="77" spans="1:10" s="12" customFormat="1">
      <c r="A77" s="13"/>
      <c r="I77" s="193"/>
      <c r="J77" s="193"/>
    </row>
    <row r="78" spans="1:10" s="12" customFormat="1">
      <c r="A78" s="13"/>
      <c r="I78" s="193"/>
      <c r="J78" s="193"/>
    </row>
    <row r="79" spans="1:10" s="12" customFormat="1">
      <c r="A79" s="13"/>
      <c r="I79" s="193"/>
      <c r="J79" s="193"/>
    </row>
    <row r="80" spans="1:10" s="12" customFormat="1">
      <c r="A80" s="13"/>
      <c r="I80" s="193"/>
      <c r="J80" s="193"/>
    </row>
    <row r="81" spans="1:10" s="12" customFormat="1">
      <c r="A81" s="13"/>
      <c r="I81" s="193"/>
      <c r="J81" s="193"/>
    </row>
    <row r="82" spans="1:10" s="12" customFormat="1">
      <c r="A82" s="13"/>
      <c r="I82" s="193"/>
      <c r="J82" s="193"/>
    </row>
    <row r="83" spans="1:10" s="12" customFormat="1">
      <c r="A83" s="13"/>
      <c r="I83" s="193"/>
      <c r="J83" s="193"/>
    </row>
    <row r="84" spans="1:10" s="12" customFormat="1">
      <c r="A84" s="13"/>
      <c r="I84" s="193"/>
      <c r="J84" s="193"/>
    </row>
    <row r="85" spans="1:10" s="12" customFormat="1">
      <c r="A85" s="13"/>
      <c r="I85" s="193"/>
      <c r="J85" s="193"/>
    </row>
    <row r="86" spans="1:10" s="12" customFormat="1">
      <c r="A86" s="13"/>
      <c r="I86" s="193"/>
      <c r="J86" s="193"/>
    </row>
    <row r="87" spans="1:10" s="12" customFormat="1">
      <c r="A87" s="13"/>
      <c r="I87" s="193"/>
      <c r="J87" s="193"/>
    </row>
    <row r="88" spans="1:10" s="12" customFormat="1">
      <c r="A88" s="13"/>
      <c r="I88" s="193"/>
      <c r="J88" s="193"/>
    </row>
    <row r="89" spans="1:10" s="12" customFormat="1">
      <c r="A89" s="13"/>
      <c r="I89" s="193"/>
      <c r="J89" s="193"/>
    </row>
    <row r="90" spans="1:10" s="12" customFormat="1">
      <c r="A90" s="13"/>
      <c r="I90" s="193"/>
      <c r="J90" s="193"/>
    </row>
    <row r="91" spans="1:10" s="12" customFormat="1">
      <c r="A91" s="13"/>
      <c r="I91" s="193"/>
      <c r="J91" s="193"/>
    </row>
    <row r="92" spans="1:10" s="12" customFormat="1">
      <c r="A92" s="13"/>
      <c r="I92" s="193"/>
      <c r="J92" s="193"/>
    </row>
    <row r="93" spans="1:10" s="12" customFormat="1">
      <c r="A93" s="13"/>
      <c r="I93" s="193"/>
      <c r="J93" s="193"/>
    </row>
    <row r="94" spans="1:10" s="12" customFormat="1">
      <c r="A94" s="13"/>
      <c r="I94" s="193"/>
      <c r="J94" s="193"/>
    </row>
    <row r="95" spans="1:10" s="12" customFormat="1">
      <c r="A95" s="13"/>
      <c r="I95" s="193"/>
      <c r="J95" s="193"/>
    </row>
    <row r="96" spans="1:10" s="12" customFormat="1">
      <c r="A96" s="13"/>
      <c r="I96" s="193"/>
      <c r="J96" s="193"/>
    </row>
    <row r="97" spans="1:10" s="12" customFormat="1">
      <c r="A97" s="13"/>
      <c r="I97" s="193"/>
      <c r="J97" s="193"/>
    </row>
    <row r="98" spans="1:10" s="12" customFormat="1">
      <c r="A98" s="13"/>
      <c r="I98" s="193"/>
      <c r="J98" s="193"/>
    </row>
    <row r="99" spans="1:10" s="12" customFormat="1">
      <c r="A99" s="13"/>
      <c r="I99" s="193"/>
      <c r="J99" s="193"/>
    </row>
    <row r="100" spans="1:10" s="12" customFormat="1">
      <c r="A100" s="13"/>
      <c r="I100" s="193"/>
      <c r="J100" s="193"/>
    </row>
    <row r="101" spans="1:10" s="12" customFormat="1">
      <c r="A101" s="13"/>
      <c r="I101" s="193"/>
      <c r="J101" s="193"/>
    </row>
    <row r="102" spans="1:10" s="12" customFormat="1">
      <c r="A102" s="13"/>
      <c r="I102" s="193"/>
      <c r="J102" s="193"/>
    </row>
    <row r="103" spans="1:10" s="12" customFormat="1">
      <c r="A103" s="13"/>
      <c r="I103" s="193"/>
      <c r="J103" s="193"/>
    </row>
    <row r="104" spans="1:10" s="12" customFormat="1">
      <c r="A104" s="13"/>
      <c r="I104" s="193"/>
      <c r="J104" s="193"/>
    </row>
    <row r="105" spans="1:10" s="12" customFormat="1">
      <c r="A105" s="13"/>
      <c r="I105" s="193"/>
      <c r="J105" s="193"/>
    </row>
    <row r="106" spans="1:10" s="12" customFormat="1">
      <c r="A106" s="13"/>
      <c r="I106" s="193"/>
      <c r="J106" s="193"/>
    </row>
    <row r="107" spans="1:10" s="12" customFormat="1">
      <c r="A107" s="13"/>
      <c r="I107" s="193"/>
      <c r="J107" s="193"/>
    </row>
    <row r="108" spans="1:10" s="12" customFormat="1">
      <c r="A108" s="13"/>
      <c r="I108" s="193"/>
      <c r="J108" s="193"/>
    </row>
    <row r="109" spans="1:10" s="12" customFormat="1">
      <c r="A109" s="13"/>
      <c r="I109" s="193"/>
      <c r="J109" s="193"/>
    </row>
    <row r="110" spans="1:10" s="12" customFormat="1">
      <c r="A110" s="13"/>
      <c r="I110" s="193"/>
      <c r="J110" s="193"/>
    </row>
    <row r="111" spans="1:10" s="12" customFormat="1">
      <c r="A111" s="13"/>
      <c r="I111" s="193"/>
      <c r="J111" s="193"/>
    </row>
    <row r="112" spans="1:10" s="12" customFormat="1">
      <c r="A112" s="13"/>
      <c r="I112" s="193"/>
      <c r="J112" s="193"/>
    </row>
    <row r="113" spans="1:10" s="12" customFormat="1">
      <c r="A113" s="13"/>
      <c r="I113" s="193"/>
      <c r="J113" s="193"/>
    </row>
    <row r="114" spans="1:10" s="12" customFormat="1">
      <c r="A114" s="13"/>
      <c r="I114" s="193"/>
      <c r="J114" s="193"/>
    </row>
    <row r="115" spans="1:10" s="12" customFormat="1">
      <c r="A115" s="13"/>
      <c r="I115" s="193"/>
      <c r="J115" s="193"/>
    </row>
    <row r="116" spans="1:10" s="12" customFormat="1">
      <c r="A116" s="13"/>
      <c r="I116" s="193"/>
      <c r="J116" s="193"/>
    </row>
    <row r="117" spans="1:10" s="12" customFormat="1">
      <c r="A117" s="13"/>
      <c r="I117" s="193"/>
      <c r="J117" s="193"/>
    </row>
    <row r="118" spans="1:10" s="12" customFormat="1">
      <c r="A118" s="13"/>
      <c r="I118" s="193"/>
      <c r="J118" s="193"/>
    </row>
    <row r="119" spans="1:10" s="12" customFormat="1">
      <c r="A119" s="13"/>
      <c r="I119" s="193"/>
      <c r="J119" s="193"/>
    </row>
    <row r="120" spans="1:10" s="12" customFormat="1">
      <c r="A120" s="13"/>
      <c r="I120" s="193"/>
      <c r="J120" s="193"/>
    </row>
    <row r="121" spans="1:10" s="12" customFormat="1">
      <c r="A121" s="13"/>
      <c r="I121" s="193"/>
      <c r="J121" s="193"/>
    </row>
    <row r="122" spans="1:10" s="12" customFormat="1">
      <c r="A122" s="13"/>
      <c r="I122" s="193"/>
      <c r="J122" s="193"/>
    </row>
    <row r="123" spans="1:10" s="12" customFormat="1">
      <c r="A123" s="13"/>
      <c r="I123" s="193"/>
      <c r="J123" s="193"/>
    </row>
    <row r="124" spans="1:10" s="12" customFormat="1">
      <c r="A124" s="13"/>
      <c r="I124" s="193"/>
      <c r="J124" s="193"/>
    </row>
    <row r="125" spans="1:10" s="12" customFormat="1">
      <c r="A125" s="13"/>
      <c r="I125" s="193"/>
      <c r="J125" s="193"/>
    </row>
    <row r="126" spans="1:10" s="12" customFormat="1">
      <c r="A126" s="13"/>
      <c r="I126" s="193"/>
      <c r="J126" s="193"/>
    </row>
    <row r="127" spans="1:10" s="12" customFormat="1">
      <c r="A127" s="13"/>
      <c r="I127" s="193"/>
      <c r="J127" s="193"/>
    </row>
    <row r="128" spans="1:10" s="12" customFormat="1">
      <c r="A128" s="13"/>
      <c r="I128" s="193"/>
      <c r="J128" s="193"/>
    </row>
    <row r="129" spans="1:10" s="12" customFormat="1">
      <c r="A129" s="13"/>
      <c r="I129" s="193"/>
      <c r="J129" s="193"/>
    </row>
    <row r="130" spans="1:10" s="12" customFormat="1">
      <c r="A130" s="13"/>
      <c r="I130" s="193"/>
      <c r="J130" s="193"/>
    </row>
    <row r="131" spans="1:10" s="12" customFormat="1">
      <c r="A131" s="13"/>
      <c r="I131" s="193"/>
      <c r="J131" s="193"/>
    </row>
    <row r="132" spans="1:10" s="12" customFormat="1">
      <c r="A132" s="13"/>
      <c r="I132" s="193"/>
      <c r="J132" s="193"/>
    </row>
    <row r="133" spans="1:10" s="12" customFormat="1">
      <c r="A133" s="13"/>
      <c r="I133" s="193"/>
      <c r="J133" s="193"/>
    </row>
    <row r="134" spans="1:10" s="12" customFormat="1">
      <c r="A134" s="13"/>
      <c r="I134" s="193"/>
      <c r="J134" s="193"/>
    </row>
    <row r="135" spans="1:10" s="12" customFormat="1">
      <c r="A135" s="13"/>
      <c r="I135" s="193"/>
      <c r="J135" s="193"/>
    </row>
    <row r="136" spans="1:10" s="12" customFormat="1">
      <c r="A136" s="13"/>
      <c r="I136" s="193"/>
      <c r="J136" s="193"/>
    </row>
    <row r="137" spans="1:10" s="12" customFormat="1">
      <c r="A137" s="13"/>
      <c r="I137" s="193"/>
      <c r="J137" s="193"/>
    </row>
    <row r="138" spans="1:10" s="12" customFormat="1">
      <c r="A138" s="13"/>
      <c r="I138" s="193"/>
      <c r="J138" s="193"/>
    </row>
    <row r="139" spans="1:10" s="12" customFormat="1">
      <c r="A139" s="13"/>
      <c r="I139" s="193"/>
      <c r="J139" s="193"/>
    </row>
    <row r="140" spans="1:10" s="12" customFormat="1">
      <c r="A140" s="13"/>
      <c r="I140" s="193"/>
      <c r="J140" s="193"/>
    </row>
    <row r="141" spans="1:10" s="12" customFormat="1">
      <c r="A141" s="13"/>
      <c r="I141" s="193"/>
      <c r="J141" s="193"/>
    </row>
    <row r="142" spans="1:10" s="12" customFormat="1">
      <c r="A142" s="13"/>
      <c r="I142" s="193"/>
      <c r="J142" s="193"/>
    </row>
    <row r="143" spans="1:10" s="12" customFormat="1">
      <c r="A143" s="13"/>
      <c r="I143" s="193"/>
      <c r="J143" s="193"/>
    </row>
    <row r="144" spans="1:10" s="12" customFormat="1">
      <c r="A144" s="13"/>
      <c r="I144" s="193"/>
      <c r="J144" s="193"/>
    </row>
    <row r="145" spans="1:10" s="12" customFormat="1">
      <c r="A145" s="13"/>
      <c r="I145" s="193"/>
      <c r="J145" s="193"/>
    </row>
    <row r="146" spans="1:10" s="12" customFormat="1">
      <c r="A146" s="13"/>
      <c r="I146" s="193"/>
      <c r="J146" s="193"/>
    </row>
    <row r="147" spans="1:10" s="12" customFormat="1">
      <c r="A147" s="13"/>
      <c r="I147" s="193"/>
      <c r="J147" s="193"/>
    </row>
    <row r="148" spans="1:10" s="12" customFormat="1">
      <c r="A148" s="13"/>
      <c r="I148" s="193"/>
      <c r="J148" s="193"/>
    </row>
    <row r="149" spans="1:10" s="12" customFormat="1">
      <c r="A149" s="13"/>
      <c r="I149" s="193"/>
      <c r="J149" s="193"/>
    </row>
    <row r="150" spans="1:10" s="12" customFormat="1">
      <c r="A150" s="13"/>
      <c r="I150" s="193"/>
      <c r="J150" s="193"/>
    </row>
    <row r="151" spans="1:10" s="12" customFormat="1">
      <c r="A151" s="13"/>
      <c r="I151" s="193"/>
      <c r="J151" s="193"/>
    </row>
    <row r="152" spans="1:10" s="12" customFormat="1">
      <c r="A152" s="13"/>
      <c r="I152" s="193"/>
      <c r="J152" s="193"/>
    </row>
    <row r="153" spans="1:10" s="12" customFormat="1">
      <c r="A153" s="13"/>
      <c r="I153" s="193"/>
      <c r="J153" s="193"/>
    </row>
    <row r="154" spans="1:10" s="12" customFormat="1">
      <c r="A154" s="13"/>
      <c r="I154" s="193"/>
      <c r="J154" s="193"/>
    </row>
    <row r="155" spans="1:10" s="12" customFormat="1">
      <c r="A155" s="13"/>
      <c r="I155" s="193"/>
      <c r="J155" s="193"/>
    </row>
    <row r="156" spans="1:10" s="12" customFormat="1">
      <c r="A156" s="13"/>
      <c r="I156" s="193"/>
      <c r="J156" s="193"/>
    </row>
    <row r="157" spans="1:10" s="12" customFormat="1">
      <c r="A157" s="13"/>
      <c r="I157" s="193"/>
      <c r="J157" s="193"/>
    </row>
    <row r="158" spans="1:10" s="12" customFormat="1">
      <c r="A158" s="13"/>
      <c r="I158" s="193"/>
      <c r="J158" s="193"/>
    </row>
    <row r="159" spans="1:10" s="12" customFormat="1">
      <c r="A159" s="13"/>
      <c r="I159" s="193"/>
      <c r="J159" s="193"/>
    </row>
    <row r="160" spans="1:10" s="12" customFormat="1">
      <c r="A160" s="13"/>
      <c r="I160" s="193"/>
      <c r="J160" s="193"/>
    </row>
    <row r="161" spans="1:10" s="12" customFormat="1">
      <c r="A161" s="13"/>
      <c r="I161" s="193"/>
      <c r="J161" s="193"/>
    </row>
    <row r="162" spans="1:10" s="12" customFormat="1">
      <c r="A162" s="13"/>
      <c r="I162" s="193"/>
      <c r="J162" s="193"/>
    </row>
    <row r="163" spans="1:10" s="12" customFormat="1">
      <c r="A163" s="13"/>
      <c r="I163" s="193"/>
      <c r="J163" s="193"/>
    </row>
    <row r="164" spans="1:10" s="12" customFormat="1">
      <c r="A164" s="13"/>
      <c r="I164" s="193"/>
      <c r="J164" s="193"/>
    </row>
    <row r="165" spans="1:10" s="12" customFormat="1">
      <c r="A165" s="13"/>
      <c r="I165" s="193"/>
      <c r="J165" s="193"/>
    </row>
    <row r="166" spans="1:10" s="12" customFormat="1">
      <c r="A166" s="13"/>
      <c r="I166" s="193"/>
      <c r="J166" s="193"/>
    </row>
    <row r="167" spans="1:10" s="12" customFormat="1">
      <c r="A167" s="13"/>
      <c r="I167" s="193"/>
      <c r="J167" s="193"/>
    </row>
    <row r="168" spans="1:10" s="12" customFormat="1">
      <c r="A168" s="13"/>
      <c r="I168" s="193"/>
      <c r="J168" s="193"/>
    </row>
    <row r="169" spans="1:10" s="12" customFormat="1">
      <c r="A169" s="13"/>
      <c r="I169" s="193"/>
      <c r="J169" s="193"/>
    </row>
    <row r="170" spans="1:10" s="12" customFormat="1">
      <c r="A170" s="13"/>
      <c r="I170" s="193"/>
      <c r="J170" s="193"/>
    </row>
    <row r="171" spans="1:10" s="12" customFormat="1">
      <c r="A171" s="13"/>
      <c r="I171" s="193"/>
      <c r="J171" s="193"/>
    </row>
    <row r="172" spans="1:10" s="12" customFormat="1">
      <c r="A172" s="13"/>
      <c r="I172" s="193"/>
      <c r="J172" s="193"/>
    </row>
    <row r="173" spans="1:10" s="12" customFormat="1">
      <c r="A173" s="13"/>
      <c r="I173" s="193"/>
      <c r="J173" s="193"/>
    </row>
    <row r="174" spans="1:10" s="12" customFormat="1">
      <c r="A174" s="13"/>
      <c r="I174" s="193"/>
      <c r="J174" s="193"/>
    </row>
    <row r="175" spans="1:10" s="12" customFormat="1">
      <c r="A175" s="13"/>
      <c r="I175" s="193"/>
      <c r="J175" s="193"/>
    </row>
    <row r="176" spans="1:10" s="12" customFormat="1">
      <c r="A176" s="13"/>
      <c r="I176" s="193"/>
      <c r="J176" s="193"/>
    </row>
    <row r="177" spans="1:10" s="12" customFormat="1">
      <c r="A177" s="13"/>
      <c r="I177" s="193"/>
      <c r="J177" s="193"/>
    </row>
    <row r="178" spans="1:10" s="12" customFormat="1">
      <c r="A178" s="13"/>
      <c r="I178" s="193"/>
      <c r="J178" s="193"/>
    </row>
    <row r="179" spans="1:10" s="12" customFormat="1">
      <c r="A179" s="13"/>
      <c r="I179" s="193"/>
      <c r="J179" s="193"/>
    </row>
    <row r="180" spans="1:10" s="12" customFormat="1">
      <c r="A180" s="13"/>
      <c r="I180" s="193"/>
      <c r="J180" s="193"/>
    </row>
    <row r="181" spans="1:10" s="12" customFormat="1">
      <c r="A181" s="13"/>
      <c r="I181" s="193"/>
      <c r="J181" s="193"/>
    </row>
    <row r="182" spans="1:10" s="12" customFormat="1">
      <c r="A182" s="13"/>
      <c r="I182" s="193"/>
      <c r="J182" s="193"/>
    </row>
    <row r="183" spans="1:10" s="12" customFormat="1">
      <c r="A183" s="13"/>
      <c r="I183" s="193"/>
      <c r="J183" s="193"/>
    </row>
    <row r="184" spans="1:10" s="12" customFormat="1">
      <c r="A184" s="13"/>
      <c r="I184" s="193"/>
      <c r="J184" s="193"/>
    </row>
    <row r="185" spans="1:10" s="12" customFormat="1">
      <c r="A185" s="13"/>
      <c r="I185" s="193"/>
      <c r="J185" s="193"/>
    </row>
    <row r="186" spans="1:10" s="12" customFormat="1">
      <c r="A186" s="13"/>
      <c r="I186" s="193"/>
      <c r="J186" s="193"/>
    </row>
    <row r="187" spans="1:10" s="12" customFormat="1">
      <c r="A187" s="13"/>
      <c r="I187" s="193"/>
      <c r="J187" s="193"/>
    </row>
    <row r="188" spans="1:10" s="12" customFormat="1">
      <c r="A188" s="13"/>
      <c r="I188" s="193"/>
      <c r="J188" s="193"/>
    </row>
    <row r="189" spans="1:10" s="12" customFormat="1">
      <c r="A189" s="13"/>
      <c r="I189" s="193"/>
      <c r="J189" s="193"/>
    </row>
    <row r="190" spans="1:10" s="12" customFormat="1">
      <c r="A190" s="13"/>
      <c r="I190" s="193"/>
      <c r="J190" s="193"/>
    </row>
    <row r="191" spans="1:10" s="12" customFormat="1">
      <c r="A191" s="13"/>
      <c r="I191" s="193"/>
      <c r="J191" s="193"/>
    </row>
    <row r="192" spans="1:10" s="12" customFormat="1">
      <c r="A192" s="13"/>
      <c r="I192" s="193"/>
      <c r="J192" s="193"/>
    </row>
    <row r="193" spans="1:10" s="12" customFormat="1">
      <c r="A193" s="13"/>
      <c r="I193" s="193"/>
      <c r="J193" s="193"/>
    </row>
    <row r="194" spans="1:10" s="12" customFormat="1">
      <c r="A194" s="13"/>
      <c r="I194" s="193"/>
      <c r="J194" s="193"/>
    </row>
    <row r="195" spans="1:10" s="12" customFormat="1">
      <c r="A195" s="13"/>
      <c r="I195" s="193"/>
      <c r="J195" s="193"/>
    </row>
    <row r="196" spans="1:10" s="12" customFormat="1">
      <c r="A196" s="13"/>
      <c r="I196" s="193"/>
      <c r="J196" s="193"/>
    </row>
    <row r="197" spans="1:10" s="12" customFormat="1">
      <c r="A197" s="13"/>
      <c r="I197" s="193"/>
      <c r="J197" s="193"/>
    </row>
    <row r="198" spans="1:10" s="12" customFormat="1">
      <c r="A198" s="13"/>
      <c r="I198" s="193"/>
      <c r="J198" s="193"/>
    </row>
  </sheetData>
  <mergeCells count="12">
    <mergeCell ref="A2:H2"/>
    <mergeCell ref="C48:D48"/>
    <mergeCell ref="A7:H7"/>
    <mergeCell ref="A18:H18"/>
    <mergeCell ref="C47:D47"/>
    <mergeCell ref="A3:H3"/>
    <mergeCell ref="A4:A5"/>
    <mergeCell ref="B4:B5"/>
    <mergeCell ref="C4:D4"/>
    <mergeCell ref="E4:H4"/>
    <mergeCell ref="F47:G47"/>
    <mergeCell ref="F48:G48"/>
  </mergeCells>
  <phoneticPr fontId="3" type="noConversion"/>
  <pageMargins left="0.59055118110236227" right="0.59055118110236227" top="0.98425196850393704" bottom="0.59055118110236227" header="0.31496062992125984" footer="0.19685039370078741"/>
  <pageSetup paperSize="9" scale="66" fitToHeight="0" orientation="landscape" blackAndWhite="1" verticalDpi="300" r:id="rId1"/>
  <headerFooter alignWithMargins="0"/>
  <rowBreaks count="1" manualBreakCount="1">
    <brk id="24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72"/>
  <sheetViews>
    <sheetView topLeftCell="B49" zoomScale="60" zoomScaleNormal="60" zoomScaleSheetLayoutView="70" workbookViewId="0">
      <selection activeCell="D60" sqref="D60"/>
    </sheetView>
  </sheetViews>
  <sheetFormatPr defaultColWidth="9.109375" defaultRowHeight="18"/>
  <cols>
    <col min="1" max="1" width="88" style="347" customWidth="1"/>
    <col min="2" max="2" width="15" style="347" customWidth="1"/>
    <col min="3" max="7" width="20.44140625" style="347" customWidth="1"/>
    <col min="8" max="8" width="18.44140625" style="347" customWidth="1"/>
    <col min="9" max="16384" width="9.109375" style="347"/>
  </cols>
  <sheetData>
    <row r="1" spans="1:8" ht="20.399999999999999">
      <c r="H1" s="197" t="s">
        <v>344</v>
      </c>
    </row>
    <row r="2" spans="1:8" ht="22.8">
      <c r="A2" s="430" t="s">
        <v>222</v>
      </c>
      <c r="B2" s="430"/>
      <c r="C2" s="430"/>
      <c r="D2" s="430"/>
      <c r="E2" s="430"/>
      <c r="F2" s="430"/>
      <c r="G2" s="430"/>
      <c r="H2" s="430"/>
    </row>
    <row r="3" spans="1:8">
      <c r="A3" s="26"/>
      <c r="B3" s="26"/>
      <c r="C3" s="26"/>
      <c r="D3" s="26"/>
      <c r="E3" s="217"/>
      <c r="F3" s="26"/>
      <c r="G3" s="26"/>
      <c r="H3" s="26" t="s">
        <v>366</v>
      </c>
    </row>
    <row r="4" spans="1:8" ht="66.75" customHeight="1">
      <c r="A4" s="441" t="s">
        <v>153</v>
      </c>
      <c r="B4" s="487" t="s">
        <v>0</v>
      </c>
      <c r="C4" s="441" t="s">
        <v>277</v>
      </c>
      <c r="D4" s="441"/>
      <c r="E4" s="453" t="s">
        <v>427</v>
      </c>
      <c r="F4" s="453"/>
      <c r="G4" s="453"/>
      <c r="H4" s="453"/>
    </row>
    <row r="5" spans="1:8" ht="56.25" customHeight="1">
      <c r="A5" s="441"/>
      <c r="B5" s="487"/>
      <c r="C5" s="323" t="s">
        <v>435</v>
      </c>
      <c r="D5" s="323" t="s">
        <v>429</v>
      </c>
      <c r="E5" s="323" t="s">
        <v>144</v>
      </c>
      <c r="F5" s="323" t="s">
        <v>140</v>
      </c>
      <c r="G5" s="168" t="s">
        <v>150</v>
      </c>
      <c r="H5" s="168" t="s">
        <v>151</v>
      </c>
    </row>
    <row r="6" spans="1:8" ht="22.5" customHeight="1">
      <c r="A6" s="168">
        <v>1</v>
      </c>
      <c r="B6" s="353">
        <v>2</v>
      </c>
      <c r="C6" s="168">
        <v>3</v>
      </c>
      <c r="D6" s="353">
        <v>4</v>
      </c>
      <c r="E6" s="168">
        <v>5</v>
      </c>
      <c r="F6" s="353">
        <v>6</v>
      </c>
      <c r="G6" s="168">
        <v>7</v>
      </c>
      <c r="H6" s="353">
        <v>8</v>
      </c>
    </row>
    <row r="7" spans="1:8" ht="27.75" customHeight="1">
      <c r="A7" s="61" t="s">
        <v>233</v>
      </c>
      <c r="B7" s="63"/>
      <c r="C7" s="63"/>
      <c r="D7" s="63"/>
      <c r="E7" s="63"/>
      <c r="F7" s="63"/>
      <c r="G7" s="63"/>
      <c r="H7" s="64"/>
    </row>
    <row r="8" spans="1:8" s="198" customFormat="1" ht="30" customHeight="1">
      <c r="A8" s="65" t="s">
        <v>208</v>
      </c>
      <c r="B8" s="66">
        <v>3000</v>
      </c>
      <c r="C8" s="51">
        <f>SUM(C9:C10,C12:C17)</f>
        <v>536426.99999999988</v>
      </c>
      <c r="D8" s="426">
        <f t="shared" ref="D8:F8" si="0">SUM(D9:D10,D12:D17)</f>
        <v>602728.1</v>
      </c>
      <c r="E8" s="51">
        <f t="shared" si="0"/>
        <v>866155</v>
      </c>
      <c r="F8" s="51">
        <f t="shared" si="0"/>
        <v>602728.1</v>
      </c>
      <c r="G8" s="51">
        <f>F8-E8</f>
        <v>-263426.90000000002</v>
      </c>
      <c r="H8" s="130">
        <f>(F8/E8)*100</f>
        <v>69.58663287748729</v>
      </c>
    </row>
    <row r="9" spans="1:8" ht="27.75" customHeight="1">
      <c r="A9" s="344" t="s">
        <v>306</v>
      </c>
      <c r="B9" s="53">
        <v>3010</v>
      </c>
      <c r="C9" s="54">
        <v>125560.9</v>
      </c>
      <c r="D9" s="427">
        <v>169779.5</v>
      </c>
      <c r="E9" s="54">
        <v>269613</v>
      </c>
      <c r="F9" s="54">
        <f>D9</f>
        <v>169779.5</v>
      </c>
      <c r="G9" s="54">
        <f>F9-E9</f>
        <v>-99833.5</v>
      </c>
      <c r="H9" s="129">
        <f>(F9/E9)*100</f>
        <v>62.971555525883396</v>
      </c>
    </row>
    <row r="10" spans="1:8" ht="27.75" customHeight="1">
      <c r="A10" s="344" t="s">
        <v>223</v>
      </c>
      <c r="B10" s="53">
        <v>3020</v>
      </c>
      <c r="C10" s="54"/>
      <c r="D10" s="95"/>
      <c r="E10" s="54"/>
      <c r="F10" s="54"/>
      <c r="G10" s="54">
        <f t="shared" ref="G10:G17" si="1">F10-E10</f>
        <v>0</v>
      </c>
      <c r="H10" s="129"/>
    </row>
    <row r="11" spans="1:8" ht="27.75" customHeight="1">
      <c r="A11" s="344" t="s">
        <v>224</v>
      </c>
      <c r="B11" s="53">
        <v>3021</v>
      </c>
      <c r="C11" s="54"/>
      <c r="D11" s="95"/>
      <c r="E11" s="54"/>
      <c r="F11" s="54"/>
      <c r="G11" s="54">
        <f t="shared" si="1"/>
        <v>0</v>
      </c>
      <c r="H11" s="129"/>
    </row>
    <row r="12" spans="1:8" ht="27.75" customHeight="1">
      <c r="A12" s="344" t="s">
        <v>305</v>
      </c>
      <c r="B12" s="53">
        <v>3030</v>
      </c>
      <c r="C12" s="54">
        <f>'Розшифровка до Руху'!D8</f>
        <v>401764.3</v>
      </c>
      <c r="D12" s="427">
        <f>'Розшифровка до Руху'!F8</f>
        <v>425954.3</v>
      </c>
      <c r="E12" s="54">
        <f>'Розшифровка до Руху'!E8</f>
        <v>590042</v>
      </c>
      <c r="F12" s="54">
        <f>'Розшифровка до Руху'!F8</f>
        <v>425954.3</v>
      </c>
      <c r="G12" s="54">
        <f t="shared" si="1"/>
        <v>-164087.70000000001</v>
      </c>
      <c r="H12" s="129">
        <f>(F12/E12)*100</f>
        <v>72.190505082689029</v>
      </c>
    </row>
    <row r="13" spans="1:8" ht="27.75" customHeight="1">
      <c r="A13" s="344" t="s">
        <v>415</v>
      </c>
      <c r="B13" s="53">
        <v>3040</v>
      </c>
      <c r="C13" s="54"/>
      <c r="D13" s="95"/>
      <c r="E13" s="54"/>
      <c r="F13" s="54"/>
      <c r="G13" s="54">
        <f t="shared" si="1"/>
        <v>0</v>
      </c>
      <c r="H13" s="129"/>
    </row>
    <row r="14" spans="1:8" ht="27.75" customHeight="1">
      <c r="A14" s="344" t="s">
        <v>209</v>
      </c>
      <c r="B14" s="53">
        <v>3050</v>
      </c>
      <c r="C14" s="54">
        <v>2205.6</v>
      </c>
      <c r="D14" s="427">
        <v>22.1</v>
      </c>
      <c r="E14" s="54"/>
      <c r="F14" s="54">
        <f>D14</f>
        <v>22.1</v>
      </c>
      <c r="G14" s="54">
        <f t="shared" si="1"/>
        <v>22.1</v>
      </c>
      <c r="H14" s="129"/>
    </row>
    <row r="15" spans="1:8" ht="27.75" customHeight="1">
      <c r="A15" s="344" t="s">
        <v>368</v>
      </c>
      <c r="B15" s="53">
        <v>3060</v>
      </c>
      <c r="C15" s="54">
        <v>27.9</v>
      </c>
      <c r="D15" s="427">
        <v>15.6</v>
      </c>
      <c r="E15" s="54"/>
      <c r="F15" s="54">
        <f t="shared" ref="F15:F16" si="2">D15</f>
        <v>15.6</v>
      </c>
      <c r="G15" s="54">
        <f t="shared" si="1"/>
        <v>15.6</v>
      </c>
      <c r="H15" s="129"/>
    </row>
    <row r="16" spans="1:8" ht="46.5" customHeight="1">
      <c r="A16" s="344" t="s">
        <v>367</v>
      </c>
      <c r="B16" s="53">
        <v>3070</v>
      </c>
      <c r="C16" s="54">
        <v>62.7</v>
      </c>
      <c r="D16" s="427">
        <v>43.2</v>
      </c>
      <c r="E16" s="54"/>
      <c r="F16" s="54">
        <f t="shared" si="2"/>
        <v>43.2</v>
      </c>
      <c r="G16" s="54">
        <f t="shared" si="1"/>
        <v>43.2</v>
      </c>
      <c r="H16" s="129"/>
    </row>
    <row r="17" spans="1:8" ht="31.5" customHeight="1">
      <c r="A17" s="344" t="s">
        <v>307</v>
      </c>
      <c r="B17" s="53">
        <v>3080</v>
      </c>
      <c r="C17" s="54">
        <f>'Розшифровка до Руху'!D22</f>
        <v>6805.6</v>
      </c>
      <c r="D17" s="427">
        <f>'[36]Розшифровка до Руху'!F22</f>
        <v>6913.4</v>
      </c>
      <c r="E17" s="54">
        <f>'Розшифровка до Руху'!E22</f>
        <v>6500</v>
      </c>
      <c r="F17" s="54">
        <f>'Розшифровка до Руху'!F22</f>
        <v>6913.4</v>
      </c>
      <c r="G17" s="54">
        <f t="shared" si="1"/>
        <v>413.39999999999964</v>
      </c>
      <c r="H17" s="129">
        <f>(F17/E17)*100</f>
        <v>106.35999999999999</v>
      </c>
    </row>
    <row r="18" spans="1:8" s="198" customFormat="1" ht="30" customHeight="1">
      <c r="A18" s="65" t="s">
        <v>217</v>
      </c>
      <c r="B18" s="66">
        <v>3100</v>
      </c>
      <c r="C18" s="51">
        <f>SUM(C19:C20,C21,C32,C33)</f>
        <v>-526680.1</v>
      </c>
      <c r="D18" s="426">
        <f>SUM(D19:D20,D21,D32,D33)</f>
        <v>-592374.80000000005</v>
      </c>
      <c r="E18" s="51">
        <f t="shared" ref="E18:F18" si="3">SUM(E19:E20,E21,E32,E33)</f>
        <v>-882014.7</v>
      </c>
      <c r="F18" s="51">
        <f t="shared" si="3"/>
        <v>-592374.80000000005</v>
      </c>
      <c r="G18" s="51">
        <f>F18-E18</f>
        <v>289639.89999999991</v>
      </c>
      <c r="H18" s="130">
        <f>(F18/E18)*100</f>
        <v>67.161556377688498</v>
      </c>
    </row>
    <row r="19" spans="1:8" ht="27.75" customHeight="1">
      <c r="A19" s="344" t="s">
        <v>212</v>
      </c>
      <c r="B19" s="53">
        <v>3110</v>
      </c>
      <c r="C19" s="54">
        <v>-137106.20000000001</v>
      </c>
      <c r="D19" s="427">
        <v>-214396</v>
      </c>
      <c r="E19" s="54">
        <v>-442842</v>
      </c>
      <c r="F19" s="54">
        <f>D19</f>
        <v>-214396</v>
      </c>
      <c r="G19" s="54">
        <f t="shared" ref="G19:G33" si="4">F19-E19</f>
        <v>228446</v>
      </c>
      <c r="H19" s="129">
        <f t="shared" ref="H19:H33" si="5">(F19/E19)*100</f>
        <v>48.4136554346697</v>
      </c>
    </row>
    <row r="20" spans="1:8" ht="27.75" customHeight="1">
      <c r="A20" s="344" t="s">
        <v>213</v>
      </c>
      <c r="B20" s="53">
        <v>3120</v>
      </c>
      <c r="C20" s="54">
        <v>-207990</v>
      </c>
      <c r="D20" s="427">
        <v>-229891.3</v>
      </c>
      <c r="E20" s="54">
        <v>-269988</v>
      </c>
      <c r="F20" s="54">
        <f t="shared" ref="F20:F32" si="6">D20</f>
        <v>-229891.3</v>
      </c>
      <c r="G20" s="54">
        <f t="shared" si="4"/>
        <v>40096.700000000012</v>
      </c>
      <c r="H20" s="129">
        <f t="shared" si="5"/>
        <v>85.148710313050941</v>
      </c>
    </row>
    <row r="21" spans="1:8" ht="42" customHeight="1">
      <c r="A21" s="344" t="s">
        <v>225</v>
      </c>
      <c r="B21" s="53">
        <v>3130</v>
      </c>
      <c r="C21" s="54">
        <v>-112215.7</v>
      </c>
      <c r="D21" s="95">
        <f>SUM(D23:D31)</f>
        <v>-115501.2</v>
      </c>
      <c r="E21" s="54">
        <v>-140139</v>
      </c>
      <c r="F21" s="54">
        <f t="shared" si="6"/>
        <v>-115501.2</v>
      </c>
      <c r="G21" s="54">
        <f t="shared" si="4"/>
        <v>24637.800000000003</v>
      </c>
      <c r="H21" s="129">
        <f t="shared" si="5"/>
        <v>82.419026823368227</v>
      </c>
    </row>
    <row r="22" spans="1:8" ht="27.75" customHeight="1">
      <c r="A22" s="344" t="s">
        <v>214</v>
      </c>
      <c r="B22" s="53">
        <v>3131</v>
      </c>
      <c r="C22" s="54" t="s">
        <v>185</v>
      </c>
      <c r="D22" s="95" t="s">
        <v>185</v>
      </c>
      <c r="E22" s="54" t="s">
        <v>185</v>
      </c>
      <c r="F22" s="54" t="str">
        <f t="shared" si="6"/>
        <v>(    )</v>
      </c>
      <c r="G22" s="54"/>
      <c r="H22" s="129"/>
    </row>
    <row r="23" spans="1:8" ht="27.75" customHeight="1">
      <c r="A23" s="344" t="s">
        <v>215</v>
      </c>
      <c r="B23" s="53">
        <v>3132</v>
      </c>
      <c r="C23" s="54">
        <v>-476</v>
      </c>
      <c r="D23" s="95">
        <v>-462</v>
      </c>
      <c r="E23" s="54">
        <v>-900</v>
      </c>
      <c r="F23" s="54">
        <f t="shared" si="6"/>
        <v>-462</v>
      </c>
      <c r="G23" s="54">
        <f t="shared" si="4"/>
        <v>438</v>
      </c>
      <c r="H23" s="129">
        <f t="shared" si="5"/>
        <v>51.333333333333329</v>
      </c>
    </row>
    <row r="24" spans="1:8" ht="27.75" customHeight="1">
      <c r="A24" s="344" t="s">
        <v>69</v>
      </c>
      <c r="B24" s="53">
        <v>3133</v>
      </c>
      <c r="C24" s="54">
        <v>-49060</v>
      </c>
      <c r="D24" s="95">
        <v>-51259</v>
      </c>
      <c r="E24" s="54">
        <v>-60370</v>
      </c>
      <c r="F24" s="54">
        <f t="shared" si="6"/>
        <v>-51259</v>
      </c>
      <c r="G24" s="54">
        <f t="shared" si="4"/>
        <v>9111</v>
      </c>
      <c r="H24" s="129">
        <f t="shared" si="5"/>
        <v>84.908066920655955</v>
      </c>
    </row>
    <row r="25" spans="1:8" ht="27.75" customHeight="1">
      <c r="A25" s="344" t="s">
        <v>70</v>
      </c>
      <c r="B25" s="53">
        <v>3134</v>
      </c>
      <c r="C25" s="54" t="s">
        <v>185</v>
      </c>
      <c r="D25" s="95" t="s">
        <v>185</v>
      </c>
      <c r="E25" s="54" t="s">
        <v>185</v>
      </c>
      <c r="F25" s="54" t="str">
        <f t="shared" si="6"/>
        <v>(    )</v>
      </c>
      <c r="G25" s="54"/>
      <c r="H25" s="129"/>
    </row>
    <row r="26" spans="1:8" ht="27.75" customHeight="1">
      <c r="A26" s="344" t="s">
        <v>288</v>
      </c>
      <c r="B26" s="53">
        <v>3135</v>
      </c>
      <c r="C26" s="54">
        <v>-82.8</v>
      </c>
      <c r="D26" s="95">
        <v>-10</v>
      </c>
      <c r="E26" s="54">
        <v>-11</v>
      </c>
      <c r="F26" s="54">
        <f t="shared" si="6"/>
        <v>-10</v>
      </c>
      <c r="G26" s="54">
        <f t="shared" si="4"/>
        <v>1</v>
      </c>
      <c r="H26" s="129">
        <f t="shared" si="5"/>
        <v>90.909090909090907</v>
      </c>
    </row>
    <row r="27" spans="1:8" ht="27.75" customHeight="1">
      <c r="A27" s="344" t="s">
        <v>289</v>
      </c>
      <c r="B27" s="53">
        <v>3136</v>
      </c>
      <c r="C27" s="54" t="s">
        <v>185</v>
      </c>
      <c r="D27" s="95" t="s">
        <v>185</v>
      </c>
      <c r="E27" s="54" t="s">
        <v>185</v>
      </c>
      <c r="F27" s="54" t="str">
        <f t="shared" si="6"/>
        <v>(    )</v>
      </c>
      <c r="G27" s="54"/>
      <c r="H27" s="129"/>
    </row>
    <row r="28" spans="1:8" ht="27.75" customHeight="1">
      <c r="A28" s="344" t="s">
        <v>294</v>
      </c>
      <c r="B28" s="53">
        <v>3137</v>
      </c>
      <c r="C28" s="54" t="s">
        <v>185</v>
      </c>
      <c r="D28" s="95" t="s">
        <v>185</v>
      </c>
      <c r="E28" s="54" t="s">
        <v>185</v>
      </c>
      <c r="F28" s="54" t="str">
        <f t="shared" si="6"/>
        <v>(    )</v>
      </c>
      <c r="G28" s="54"/>
      <c r="H28" s="129"/>
    </row>
    <row r="29" spans="1:8" ht="27.75" customHeight="1">
      <c r="A29" s="344" t="s">
        <v>364</v>
      </c>
      <c r="B29" s="53">
        <v>3138</v>
      </c>
      <c r="C29" s="54">
        <v>-4125</v>
      </c>
      <c r="D29" s="95">
        <v>-4572</v>
      </c>
      <c r="E29" s="54">
        <v>-5031</v>
      </c>
      <c r="F29" s="54">
        <f t="shared" si="6"/>
        <v>-4572</v>
      </c>
      <c r="G29" s="54">
        <f t="shared" si="4"/>
        <v>459</v>
      </c>
      <c r="H29" s="129">
        <f t="shared" si="5"/>
        <v>90.876565295169939</v>
      </c>
    </row>
    <row r="30" spans="1:8" ht="45" customHeight="1">
      <c r="A30" s="344" t="s">
        <v>403</v>
      </c>
      <c r="B30" s="53">
        <v>3139</v>
      </c>
      <c r="C30" s="54">
        <v>-58442</v>
      </c>
      <c r="D30" s="427">
        <v>-59155.9</v>
      </c>
      <c r="E30" s="54">
        <v>-73786</v>
      </c>
      <c r="F30" s="54">
        <f t="shared" si="6"/>
        <v>-59155.9</v>
      </c>
      <c r="G30" s="54">
        <f t="shared" si="4"/>
        <v>14630.099999999999</v>
      </c>
      <c r="H30" s="129">
        <f t="shared" si="5"/>
        <v>80.172254899303397</v>
      </c>
    </row>
    <row r="31" spans="1:8" ht="35.25" customHeight="1">
      <c r="A31" s="344" t="s">
        <v>414</v>
      </c>
      <c r="B31" s="53">
        <v>3140</v>
      </c>
      <c r="C31" s="54">
        <f>-'Розшифровка до Руху'!D27</f>
        <v>-29.900000000000002</v>
      </c>
      <c r="D31" s="95">
        <f>-'Розшифровка до Руху'!F27</f>
        <v>-42.3</v>
      </c>
      <c r="E31" s="54">
        <f>-'Розшифровка до Руху'!E27</f>
        <v>-41.6</v>
      </c>
      <c r="F31" s="54">
        <f t="shared" si="6"/>
        <v>-42.3</v>
      </c>
      <c r="G31" s="54"/>
      <c r="H31" s="129"/>
    </row>
    <row r="32" spans="1:8" ht="27.75" customHeight="1">
      <c r="A32" s="344" t="s">
        <v>216</v>
      </c>
      <c r="B32" s="53">
        <v>3150</v>
      </c>
      <c r="C32" s="54">
        <v>-40187.800000000003</v>
      </c>
      <c r="D32" s="95" t="s">
        <v>185</v>
      </c>
      <c r="E32" s="54" t="s">
        <v>185</v>
      </c>
      <c r="F32" s="54" t="str">
        <f t="shared" si="6"/>
        <v>(    )</v>
      </c>
      <c r="G32" s="54"/>
      <c r="H32" s="129"/>
    </row>
    <row r="33" spans="1:8" ht="27.75" customHeight="1">
      <c r="A33" s="344" t="s">
        <v>304</v>
      </c>
      <c r="B33" s="53">
        <v>3160</v>
      </c>
      <c r="C33" s="54">
        <f>-'Розшифровка до Руху'!D31</f>
        <v>-29180.400000000005</v>
      </c>
      <c r="D33" s="95">
        <f>-'Розшифровка до Руху'!F31</f>
        <v>-32586.300000000003</v>
      </c>
      <c r="E33" s="54">
        <f>-'Розшифровка до Руху'!E31</f>
        <v>-29045.7</v>
      </c>
      <c r="F33" s="54">
        <f>-'Розшифровка до Руху'!F31</f>
        <v>-32586.300000000003</v>
      </c>
      <c r="G33" s="54">
        <f t="shared" si="4"/>
        <v>-3540.6000000000022</v>
      </c>
      <c r="H33" s="129">
        <f t="shared" si="5"/>
        <v>112.18975614290585</v>
      </c>
    </row>
    <row r="34" spans="1:8" s="198" customFormat="1" ht="30" customHeight="1">
      <c r="A34" s="65" t="s">
        <v>230</v>
      </c>
      <c r="B34" s="66">
        <v>3195</v>
      </c>
      <c r="C34" s="51">
        <f>SUM(C8,C18)</f>
        <v>9746.8999999999069</v>
      </c>
      <c r="D34" s="428">
        <f>ROUNDUP(SUM(D8,D18),0)</f>
        <v>10354</v>
      </c>
      <c r="E34" s="51">
        <f>SUM(E8,E18)</f>
        <v>-15859.699999999953</v>
      </c>
      <c r="F34" s="51">
        <f>D34</f>
        <v>10354</v>
      </c>
      <c r="G34" s="51">
        <f>F34-E34</f>
        <v>26213.699999999953</v>
      </c>
      <c r="H34" s="130">
        <f>(F34/E34)*100</f>
        <v>-65.284967559285676</v>
      </c>
    </row>
    <row r="35" spans="1:8" s="198" customFormat="1" ht="30" customHeight="1">
      <c r="A35" s="62" t="s">
        <v>234</v>
      </c>
      <c r="B35" s="66"/>
      <c r="C35" s="51"/>
      <c r="D35" s="426"/>
      <c r="E35" s="51"/>
      <c r="F35" s="51"/>
      <c r="G35" s="51">
        <f t="shared" ref="G35:G57" si="7">F35-E35</f>
        <v>0</v>
      </c>
      <c r="H35" s="129"/>
    </row>
    <row r="36" spans="1:8" s="198" customFormat="1" ht="30" customHeight="1">
      <c r="A36" s="65" t="s">
        <v>210</v>
      </c>
      <c r="B36" s="66">
        <v>3200</v>
      </c>
      <c r="C36" s="51">
        <f>SUM(C37:C40)</f>
        <v>0</v>
      </c>
      <c r="D36" s="426">
        <f>SUM(D37:D40)</f>
        <v>0</v>
      </c>
      <c r="E36" s="51">
        <f>SUM(E37:E40)</f>
        <v>0</v>
      </c>
      <c r="F36" s="51">
        <f>SUM(F37:F40)</f>
        <v>0</v>
      </c>
      <c r="G36" s="51">
        <f t="shared" si="7"/>
        <v>0</v>
      </c>
      <c r="H36" s="129"/>
    </row>
    <row r="37" spans="1:8" ht="27.75" customHeight="1">
      <c r="A37" s="344" t="s">
        <v>226</v>
      </c>
      <c r="B37" s="53">
        <v>3210</v>
      </c>
      <c r="C37" s="54"/>
      <c r="D37" s="95"/>
      <c r="E37" s="54"/>
      <c r="F37" s="54"/>
      <c r="G37" s="51">
        <f t="shared" si="7"/>
        <v>0</v>
      </c>
      <c r="H37" s="129"/>
    </row>
    <row r="38" spans="1:8" ht="27.75" customHeight="1">
      <c r="A38" s="344" t="s">
        <v>227</v>
      </c>
      <c r="B38" s="53">
        <v>3220</v>
      </c>
      <c r="C38" s="54"/>
      <c r="D38" s="95"/>
      <c r="E38" s="54"/>
      <c r="F38" s="54"/>
      <c r="G38" s="51">
        <f t="shared" si="7"/>
        <v>0</v>
      </c>
      <c r="H38" s="129"/>
    </row>
    <row r="39" spans="1:8" ht="27.75" customHeight="1">
      <c r="A39" s="344" t="s">
        <v>47</v>
      </c>
      <c r="B39" s="53">
        <v>3230</v>
      </c>
      <c r="C39" s="54"/>
      <c r="D39" s="95"/>
      <c r="E39" s="54"/>
      <c r="F39" s="54"/>
      <c r="G39" s="51">
        <f t="shared" si="7"/>
        <v>0</v>
      </c>
      <c r="H39" s="129"/>
    </row>
    <row r="40" spans="1:8" ht="27.75" customHeight="1">
      <c r="A40" s="344" t="s">
        <v>378</v>
      </c>
      <c r="B40" s="53">
        <v>3240</v>
      </c>
      <c r="C40" s="54">
        <f>'Розшифровка до Руху'!D74</f>
        <v>0</v>
      </c>
      <c r="D40" s="95">
        <f>'Розшифровка до Руху'!F74</f>
        <v>0</v>
      </c>
      <c r="E40" s="54">
        <f>'Розшифровка до Руху'!E74</f>
        <v>0</v>
      </c>
      <c r="F40" s="54">
        <f>'Розшифровка до Руху'!F74</f>
        <v>0</v>
      </c>
      <c r="G40" s="51">
        <f t="shared" si="7"/>
        <v>0</v>
      </c>
      <c r="H40" s="129"/>
    </row>
    <row r="41" spans="1:8" s="198" customFormat="1" ht="30" customHeight="1">
      <c r="A41" s="65" t="s">
        <v>218</v>
      </c>
      <c r="B41" s="66">
        <v>3255</v>
      </c>
      <c r="C41" s="51">
        <f>SUM(C42,C44,C51)</f>
        <v>-26132.7</v>
      </c>
      <c r="D41" s="426">
        <f t="shared" ref="D41:F41" si="8">SUM(D42,D44,D51)</f>
        <v>-65147</v>
      </c>
      <c r="E41" s="51">
        <f t="shared" si="8"/>
        <v>-88183</v>
      </c>
      <c r="F41" s="51">
        <f t="shared" si="8"/>
        <v>-65147</v>
      </c>
      <c r="G41" s="51">
        <f>F41-E41</f>
        <v>23036</v>
      </c>
      <c r="H41" s="130">
        <f>(F41/E41)*100</f>
        <v>73.877051132304416</v>
      </c>
    </row>
    <row r="42" spans="1:8" s="198" customFormat="1" ht="30" customHeight="1">
      <c r="A42" s="60" t="s">
        <v>369</v>
      </c>
      <c r="B42" s="67">
        <v>3260</v>
      </c>
      <c r="C42" s="54" t="s">
        <v>185</v>
      </c>
      <c r="D42" s="95" t="s">
        <v>185</v>
      </c>
      <c r="E42" s="54" t="s">
        <v>185</v>
      </c>
      <c r="F42" s="54" t="s">
        <v>185</v>
      </c>
      <c r="G42" s="51"/>
      <c r="H42" s="129"/>
    </row>
    <row r="43" spans="1:8" s="198" customFormat="1" ht="30" customHeight="1">
      <c r="A43" s="60" t="s">
        <v>370</v>
      </c>
      <c r="B43" s="67">
        <v>3261</v>
      </c>
      <c r="C43" s="54" t="s">
        <v>185</v>
      </c>
      <c r="D43" s="95" t="s">
        <v>185</v>
      </c>
      <c r="E43" s="54" t="s">
        <v>185</v>
      </c>
      <c r="F43" s="54" t="s">
        <v>185</v>
      </c>
      <c r="G43" s="51"/>
      <c r="H43" s="129"/>
    </row>
    <row r="44" spans="1:8" s="198" customFormat="1" ht="30" customHeight="1">
      <c r="A44" s="60" t="s">
        <v>371</v>
      </c>
      <c r="B44" s="67">
        <v>3270</v>
      </c>
      <c r="C44" s="54">
        <v>-26132.7</v>
      </c>
      <c r="D44" s="95">
        <v>-65147</v>
      </c>
      <c r="E44" s="54">
        <v>-88183</v>
      </c>
      <c r="F44" s="54">
        <f>D44</f>
        <v>-65147</v>
      </c>
      <c r="G44" s="54">
        <f t="shared" si="7"/>
        <v>23036</v>
      </c>
      <c r="H44" s="129">
        <f t="shared" ref="H44:H52" si="9">(F44/E44)*100</f>
        <v>73.877051132304416</v>
      </c>
    </row>
    <row r="45" spans="1:8" s="198" customFormat="1" ht="30" customHeight="1">
      <c r="A45" s="60" t="s">
        <v>379</v>
      </c>
      <c r="B45" s="67">
        <v>3271</v>
      </c>
      <c r="C45" s="54">
        <f>-'Розшифровка до Руху'!D77</f>
        <v>0</v>
      </c>
      <c r="D45" s="95">
        <f>-'Розшифровка до Руху'!F77</f>
        <v>0</v>
      </c>
      <c r="E45" s="54">
        <f>-'Розшифровка до Руху'!E77</f>
        <v>0</v>
      </c>
      <c r="F45" s="54">
        <f>-'Розшифровка до Руху'!F77</f>
        <v>0</v>
      </c>
      <c r="G45" s="54">
        <f t="shared" si="7"/>
        <v>0</v>
      </c>
      <c r="H45" s="129"/>
    </row>
    <row r="46" spans="1:8" ht="27.75" customHeight="1">
      <c r="A46" s="344" t="s">
        <v>410</v>
      </c>
      <c r="B46" s="53">
        <v>3272</v>
      </c>
      <c r="C46" s="54">
        <f>-'Розшифровка до Руху'!D79</f>
        <v>-5208.5</v>
      </c>
      <c r="D46" s="95">
        <f>-'Розшифровка до Руху'!F79</f>
        <v>-32160.799999999999</v>
      </c>
      <c r="E46" s="54">
        <f>-'Розшифровка до Руху'!E79</f>
        <v>-48020.4</v>
      </c>
      <c r="F46" s="54">
        <f>-'Розшифровка до Руху'!F79</f>
        <v>-32160.799999999999</v>
      </c>
      <c r="G46" s="54">
        <f t="shared" si="7"/>
        <v>15859.600000000002</v>
      </c>
      <c r="H46" s="129"/>
    </row>
    <row r="47" spans="1:8" ht="41.1" customHeight="1">
      <c r="A47" s="344" t="s">
        <v>28</v>
      </c>
      <c r="B47" s="53">
        <v>3273</v>
      </c>
      <c r="C47" s="54" t="s">
        <v>185</v>
      </c>
      <c r="D47" s="95" t="s">
        <v>185</v>
      </c>
      <c r="E47" s="54" t="s">
        <v>185</v>
      </c>
      <c r="F47" s="54" t="s">
        <v>185</v>
      </c>
      <c r="G47" s="54"/>
      <c r="H47" s="129"/>
    </row>
    <row r="48" spans="1:8" ht="27.75" customHeight="1">
      <c r="A48" s="344" t="s">
        <v>380</v>
      </c>
      <c r="B48" s="53">
        <v>3274</v>
      </c>
      <c r="C48" s="54">
        <f>-'Розшифровка до Руху'!D124</f>
        <v>-16</v>
      </c>
      <c r="D48" s="95">
        <f>-'Розшифровка до Руху'!F124</f>
        <v>-4</v>
      </c>
      <c r="E48" s="54">
        <f>-'Розшифровка до Руху'!E124</f>
        <v>0</v>
      </c>
      <c r="F48" s="54">
        <f>-'Розшифровка до Руху'!F124</f>
        <v>-4</v>
      </c>
      <c r="G48" s="54">
        <f t="shared" si="7"/>
        <v>-4</v>
      </c>
      <c r="H48" s="129"/>
    </row>
    <row r="49" spans="1:8" ht="42.75" customHeight="1">
      <c r="A49" s="344" t="s">
        <v>372</v>
      </c>
      <c r="B49" s="53">
        <v>3275</v>
      </c>
      <c r="C49" s="54">
        <f>-'Розшифровка до Руху'!D126</f>
        <v>-20908.2</v>
      </c>
      <c r="D49" s="95">
        <f>-'Розшифровка до Руху'!F126</f>
        <v>-32981.5</v>
      </c>
      <c r="E49" s="54">
        <f>-'Розшифровка до Руху'!E126</f>
        <v>-27373.4</v>
      </c>
      <c r="F49" s="54">
        <f>-'Розшифровка до Руху'!F126</f>
        <v>-32981.5</v>
      </c>
      <c r="G49" s="54"/>
      <c r="H49" s="129"/>
    </row>
    <row r="50" spans="1:8" ht="27.75" customHeight="1">
      <c r="A50" s="344" t="s">
        <v>373</v>
      </c>
      <c r="B50" s="53">
        <v>3276</v>
      </c>
      <c r="C50" s="54">
        <f>-'Розшифровка до Руху'!D134</f>
        <v>0</v>
      </c>
      <c r="D50" s="95">
        <f>-'Розшифровка до Руху'!F134</f>
        <v>0</v>
      </c>
      <c r="E50" s="54">
        <f>-'Розшифровка до Руху'!E134</f>
        <v>-12788.800000000001</v>
      </c>
      <c r="F50" s="54">
        <f>-'Розшифровка до Руху'!F134</f>
        <v>0</v>
      </c>
      <c r="G50" s="54"/>
      <c r="H50" s="129"/>
    </row>
    <row r="51" spans="1:8" ht="27.75" customHeight="1">
      <c r="A51" s="344" t="s">
        <v>304</v>
      </c>
      <c r="B51" s="53">
        <v>3280</v>
      </c>
      <c r="C51" s="54" t="s">
        <v>185</v>
      </c>
      <c r="D51" s="95" t="s">
        <v>185</v>
      </c>
      <c r="E51" s="54" t="s">
        <v>185</v>
      </c>
      <c r="F51" s="54" t="s">
        <v>185</v>
      </c>
      <c r="G51" s="54"/>
      <c r="H51" s="129"/>
    </row>
    <row r="52" spans="1:8" s="198" customFormat="1" ht="30" customHeight="1">
      <c r="A52" s="65" t="s">
        <v>104</v>
      </c>
      <c r="B52" s="66">
        <v>3295</v>
      </c>
      <c r="C52" s="51">
        <f>SUM(C36,C41)</f>
        <v>-26132.7</v>
      </c>
      <c r="D52" s="428">
        <f t="shared" ref="D52:F52" si="10">SUM(D36,D41)</f>
        <v>-65147</v>
      </c>
      <c r="E52" s="51">
        <f t="shared" si="10"/>
        <v>-88183</v>
      </c>
      <c r="F52" s="51">
        <f t="shared" si="10"/>
        <v>-65147</v>
      </c>
      <c r="G52" s="51">
        <f t="shared" si="7"/>
        <v>23036</v>
      </c>
      <c r="H52" s="130">
        <f t="shared" si="9"/>
        <v>73.877051132304416</v>
      </c>
    </row>
    <row r="53" spans="1:8" s="198" customFormat="1" ht="30" customHeight="1">
      <c r="A53" s="62" t="s">
        <v>235</v>
      </c>
      <c r="B53" s="66"/>
      <c r="C53" s="54"/>
      <c r="D53" s="95"/>
      <c r="E53" s="54"/>
      <c r="F53" s="54"/>
      <c r="G53" s="51">
        <f t="shared" si="7"/>
        <v>0</v>
      </c>
      <c r="H53" s="129"/>
    </row>
    <row r="54" spans="1:8" s="198" customFormat="1" ht="30" customHeight="1">
      <c r="A54" s="65" t="s">
        <v>211</v>
      </c>
      <c r="B54" s="66">
        <v>3300</v>
      </c>
      <c r="C54" s="51">
        <f>SUM(C55:C57)</f>
        <v>18429.399999999998</v>
      </c>
      <c r="D54" s="426">
        <f t="shared" ref="D54:F54" si="11">SUM(D55:D57)</f>
        <v>115642.8</v>
      </c>
      <c r="E54" s="51">
        <f t="shared" si="11"/>
        <v>113144</v>
      </c>
      <c r="F54" s="51">
        <f t="shared" si="11"/>
        <v>115642.8</v>
      </c>
      <c r="G54" s="51">
        <f t="shared" si="7"/>
        <v>2498.8000000000029</v>
      </c>
      <c r="H54" s="129">
        <f t="shared" ref="H54:H57" si="12">(F54/E54)*100</f>
        <v>102.20851304532277</v>
      </c>
    </row>
    <row r="55" spans="1:8" ht="27.75" customHeight="1">
      <c r="A55" s="344" t="s">
        <v>228</v>
      </c>
      <c r="B55" s="53">
        <v>3310</v>
      </c>
      <c r="C55" s="54">
        <v>17883.599999999999</v>
      </c>
      <c r="D55" s="95">
        <v>74493.8</v>
      </c>
      <c r="E55" s="54">
        <v>74494</v>
      </c>
      <c r="F55" s="54">
        <f>D55</f>
        <v>74493.8</v>
      </c>
      <c r="G55" s="54">
        <f t="shared" si="7"/>
        <v>-0.19999999999708962</v>
      </c>
      <c r="H55" s="129">
        <f t="shared" si="12"/>
        <v>99.999731522001781</v>
      </c>
    </row>
    <row r="56" spans="1:8" ht="27.75" customHeight="1">
      <c r="A56" s="344" t="s">
        <v>374</v>
      </c>
      <c r="B56" s="53">
        <v>3320</v>
      </c>
      <c r="C56" s="54">
        <v>500</v>
      </c>
      <c r="D56" s="95">
        <v>41000</v>
      </c>
      <c r="E56" s="54">
        <v>38500</v>
      </c>
      <c r="F56" s="54">
        <f t="shared" ref="F56:F57" si="13">D56</f>
        <v>41000</v>
      </c>
      <c r="G56" s="54">
        <f t="shared" si="7"/>
        <v>2500</v>
      </c>
      <c r="H56" s="129">
        <f t="shared" si="12"/>
        <v>106.49350649350649</v>
      </c>
    </row>
    <row r="57" spans="1:8" ht="27.75" customHeight="1">
      <c r="A57" s="344" t="s">
        <v>378</v>
      </c>
      <c r="B57" s="53">
        <v>3330</v>
      </c>
      <c r="C57" s="54">
        <f>'Розшифровка до Руху'!D147</f>
        <v>45.8</v>
      </c>
      <c r="D57" s="95">
        <f>'Розшифровка до Руху'!F147</f>
        <v>149</v>
      </c>
      <c r="E57" s="54">
        <f>'Розшифровка до Руху'!E147</f>
        <v>150</v>
      </c>
      <c r="F57" s="54">
        <f t="shared" si="13"/>
        <v>149</v>
      </c>
      <c r="G57" s="54">
        <f t="shared" si="7"/>
        <v>-1</v>
      </c>
      <c r="H57" s="129">
        <f t="shared" si="12"/>
        <v>99.333333333333329</v>
      </c>
    </row>
    <row r="58" spans="1:8" s="198" customFormat="1" ht="30" customHeight="1">
      <c r="A58" s="65" t="s">
        <v>219</v>
      </c>
      <c r="B58" s="66">
        <v>3345</v>
      </c>
      <c r="C58" s="51">
        <f>SUM(C59:C63)</f>
        <v>-5984.9</v>
      </c>
      <c r="D58" s="426">
        <f>SUM(D59:D63)</f>
        <v>-58061.599999999999</v>
      </c>
      <c r="E58" s="51">
        <f>SUM(E59:E63)</f>
        <v>-9100.9</v>
      </c>
      <c r="F58" s="51">
        <f>SUM(F59:F63)</f>
        <v>-58061.599999999999</v>
      </c>
      <c r="G58" s="51">
        <f>F58-E58</f>
        <v>-48960.7</v>
      </c>
      <c r="H58" s="130">
        <f>(F58/E58)*100</f>
        <v>637.97646386621102</v>
      </c>
    </row>
    <row r="59" spans="1:8" ht="27.75" customHeight="1">
      <c r="A59" s="344" t="s">
        <v>229</v>
      </c>
      <c r="B59" s="53">
        <v>3350</v>
      </c>
      <c r="C59" s="54" t="s">
        <v>185</v>
      </c>
      <c r="D59" s="95" t="s">
        <v>185</v>
      </c>
      <c r="E59" s="54" t="s">
        <v>185</v>
      </c>
      <c r="F59" s="54" t="s">
        <v>185</v>
      </c>
      <c r="G59" s="51"/>
      <c r="H59" s="129"/>
    </row>
    <row r="60" spans="1:8" ht="27.75" customHeight="1">
      <c r="A60" s="344" t="s">
        <v>375</v>
      </c>
      <c r="B60" s="53">
        <v>3360</v>
      </c>
      <c r="C60" s="54">
        <v>-4697.8999999999996</v>
      </c>
      <c r="D60" s="95">
        <v>-54073.599999999999</v>
      </c>
      <c r="E60" s="54">
        <v>-5702</v>
      </c>
      <c r="F60" s="54">
        <f>D60</f>
        <v>-54073.599999999999</v>
      </c>
      <c r="G60" s="54">
        <f>F60-E60</f>
        <v>-48371.6</v>
      </c>
      <c r="H60" s="129">
        <f t="shared" ref="H60:H68" si="14">(F60/E60)*100</f>
        <v>948.32690284110834</v>
      </c>
    </row>
    <row r="61" spans="1:8" ht="27.75" customHeight="1">
      <c r="A61" s="344" t="s">
        <v>376</v>
      </c>
      <c r="B61" s="53">
        <v>3370</v>
      </c>
      <c r="C61" s="54" t="s">
        <v>185</v>
      </c>
      <c r="D61" s="95" t="s">
        <v>185</v>
      </c>
      <c r="E61" s="54" t="s">
        <v>185</v>
      </c>
      <c r="F61" s="54" t="str">
        <f t="shared" ref="F61:F62" si="15">E61</f>
        <v>(    )</v>
      </c>
      <c r="G61" s="54"/>
      <c r="H61" s="129"/>
    </row>
    <row r="62" spans="1:8" ht="48" customHeight="1">
      <c r="A62" s="344" t="s">
        <v>377</v>
      </c>
      <c r="B62" s="53">
        <v>3380</v>
      </c>
      <c r="C62" s="54" t="s">
        <v>185</v>
      </c>
      <c r="D62" s="95" t="s">
        <v>185</v>
      </c>
      <c r="E62" s="54" t="s">
        <v>185</v>
      </c>
      <c r="F62" s="54" t="str">
        <f t="shared" si="15"/>
        <v>(    )</v>
      </c>
      <c r="G62" s="54"/>
      <c r="H62" s="129"/>
    </row>
    <row r="63" spans="1:8" ht="31.5" customHeight="1">
      <c r="A63" s="344" t="s">
        <v>436</v>
      </c>
      <c r="B63" s="53">
        <v>3390</v>
      </c>
      <c r="C63" s="54">
        <f>-'Розшифровка до Руху'!D150</f>
        <v>-1287</v>
      </c>
      <c r="D63" s="95">
        <f>-'Розшифровка до Руху'!F150</f>
        <v>-3988</v>
      </c>
      <c r="E63" s="54">
        <f>-'Розшифровка до Руху'!E150</f>
        <v>-3398.9</v>
      </c>
      <c r="F63" s="54">
        <f>D63</f>
        <v>-3988</v>
      </c>
      <c r="G63" s="54">
        <f t="shared" ref="G63:G67" si="16">F63-E63</f>
        <v>-589.09999999999991</v>
      </c>
      <c r="H63" s="129">
        <f t="shared" si="14"/>
        <v>117.33207802524346</v>
      </c>
    </row>
    <row r="64" spans="1:8" s="198" customFormat="1" ht="30" customHeight="1">
      <c r="A64" s="65" t="s">
        <v>105</v>
      </c>
      <c r="B64" s="66">
        <v>3395</v>
      </c>
      <c r="C64" s="51">
        <f>SUM(C54,C58)</f>
        <v>12444.499999999998</v>
      </c>
      <c r="D64" s="428">
        <f>SUM(D54,D58)</f>
        <v>57581.200000000004</v>
      </c>
      <c r="E64" s="51">
        <f>SUM(E54,E58)</f>
        <v>104043.1</v>
      </c>
      <c r="F64" s="51">
        <f>SUM(F54,F58)</f>
        <v>57581.200000000004</v>
      </c>
      <c r="G64" s="51">
        <f t="shared" si="16"/>
        <v>-46461.9</v>
      </c>
      <c r="H64" s="130">
        <f t="shared" si="14"/>
        <v>55.343602795380001</v>
      </c>
    </row>
    <row r="65" spans="1:10" s="198" customFormat="1" ht="30" customHeight="1">
      <c r="A65" s="65" t="s">
        <v>29</v>
      </c>
      <c r="B65" s="66">
        <v>3400</v>
      </c>
      <c r="C65" s="51">
        <f>SUM(C34,C52,C64)</f>
        <v>-3941.3000000000957</v>
      </c>
      <c r="D65" s="426">
        <f>SUM(D34,D52,D64)</f>
        <v>2788.2000000000044</v>
      </c>
      <c r="E65" s="51">
        <f>SUM(E34,E52,E64)</f>
        <v>0.40000000005238689</v>
      </c>
      <c r="F65" s="51">
        <f>D65</f>
        <v>2788.2000000000044</v>
      </c>
      <c r="G65" s="51">
        <f t="shared" si="16"/>
        <v>2787.799999999952</v>
      </c>
      <c r="H65" s="130">
        <f>(F65/E65)*100</f>
        <v>697049.99990871036</v>
      </c>
    </row>
    <row r="66" spans="1:10" ht="27.75" customHeight="1">
      <c r="A66" s="344" t="s">
        <v>236</v>
      </c>
      <c r="B66" s="53">
        <v>3405</v>
      </c>
      <c r="C66" s="54">
        <v>5992</v>
      </c>
      <c r="D66" s="427">
        <f>C68</f>
        <v>2050.6999999999043</v>
      </c>
      <c r="E66" s="54">
        <v>920</v>
      </c>
      <c r="F66" s="54">
        <f>C68</f>
        <v>2050.6999999999043</v>
      </c>
      <c r="G66" s="54">
        <f t="shared" si="16"/>
        <v>1130.6999999999043</v>
      </c>
      <c r="H66" s="129">
        <f t="shared" si="14"/>
        <v>222.90217391303307</v>
      </c>
    </row>
    <row r="67" spans="1:10" ht="27.75" customHeight="1">
      <c r="A67" s="344" t="s">
        <v>107</v>
      </c>
      <c r="B67" s="53">
        <v>3410</v>
      </c>
      <c r="C67" s="51"/>
      <c r="D67" s="426">
        <v>0</v>
      </c>
      <c r="E67" s="51"/>
      <c r="F67" s="51"/>
      <c r="G67" s="54">
        <f t="shared" si="16"/>
        <v>0</v>
      </c>
      <c r="H67" s="129"/>
    </row>
    <row r="68" spans="1:10" ht="31.5" customHeight="1">
      <c r="A68" s="344" t="s">
        <v>237</v>
      </c>
      <c r="B68" s="53">
        <v>3415</v>
      </c>
      <c r="C68" s="413">
        <f>SUM(C66,C65,C67)</f>
        <v>2050.6999999999043</v>
      </c>
      <c r="D68" s="95">
        <f>ROUNDUP(SUM(D66,D65,D67),0)</f>
        <v>4839</v>
      </c>
      <c r="E68" s="54">
        <f t="shared" ref="E68" si="17">SUM(E66,E65,E67)</f>
        <v>920.40000000005239</v>
      </c>
      <c r="F68" s="54">
        <f>D68</f>
        <v>4839</v>
      </c>
      <c r="G68" s="54">
        <f>F68-E68</f>
        <v>3918.5999999999476</v>
      </c>
      <c r="H68" s="129">
        <f t="shared" si="14"/>
        <v>525.74967405472887</v>
      </c>
    </row>
    <row r="69" spans="1:10" s="199" customFormat="1" ht="69.599999999999994" customHeight="1">
      <c r="A69" s="68"/>
      <c r="B69" s="69"/>
      <c r="C69" s="69"/>
      <c r="D69" s="69"/>
      <c r="E69" s="69"/>
      <c r="F69" s="69"/>
      <c r="G69" s="69"/>
      <c r="H69" s="69"/>
    </row>
    <row r="70" spans="1:10" s="170" customFormat="1" ht="54" customHeight="1">
      <c r="A70" s="378" t="s">
        <v>554</v>
      </c>
      <c r="B70" s="248"/>
      <c r="C70" s="454"/>
      <c r="D70" s="454"/>
      <c r="E70" s="249"/>
      <c r="F70" s="485" t="s">
        <v>555</v>
      </c>
      <c r="G70" s="485"/>
      <c r="H70" s="96"/>
    </row>
    <row r="71" spans="1:10" hidden="1">
      <c r="A71" s="171" t="s">
        <v>360</v>
      </c>
      <c r="B71" s="170"/>
      <c r="C71" s="473" t="s">
        <v>556</v>
      </c>
      <c r="D71" s="473"/>
      <c r="E71" s="170"/>
      <c r="F71" s="486" t="s">
        <v>76</v>
      </c>
      <c r="G71" s="486"/>
    </row>
    <row r="72" spans="1:10" s="12" customFormat="1">
      <c r="A72" s="13"/>
      <c r="I72" s="193"/>
      <c r="J72" s="193"/>
    </row>
  </sheetData>
  <mergeCells count="9">
    <mergeCell ref="C71:D71"/>
    <mergeCell ref="A2:H2"/>
    <mergeCell ref="A4:A5"/>
    <mergeCell ref="B4:B5"/>
    <mergeCell ref="C4:D4"/>
    <mergeCell ref="E4:H4"/>
    <mergeCell ref="C70:D70"/>
    <mergeCell ref="F70:G70"/>
    <mergeCell ref="F71:G71"/>
  </mergeCells>
  <phoneticPr fontId="3" type="noConversion"/>
  <pageMargins left="0.59055118110236227" right="0.59055118110236227" top="0.98425196850393704" bottom="0.59055118110236227" header="0.31496062992125984" footer="0.19685039370078741"/>
  <pageSetup paperSize="9" scale="61" fitToHeight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K266"/>
  <sheetViews>
    <sheetView view="pageBreakPreview" topLeftCell="A137" zoomScale="87" zoomScaleNormal="70" zoomScaleSheetLayoutView="87" workbookViewId="0">
      <selection activeCell="F91" sqref="F91"/>
    </sheetView>
  </sheetViews>
  <sheetFormatPr defaultColWidth="9.109375" defaultRowHeight="18"/>
  <cols>
    <col min="1" max="1" width="5.44140625" style="170" customWidth="1"/>
    <col min="2" max="2" width="65.5546875" style="170" customWidth="1"/>
    <col min="3" max="3" width="12" style="171" customWidth="1"/>
    <col min="4" max="4" width="15.33203125" style="171" customWidth="1"/>
    <col min="5" max="5" width="16.109375" style="171" customWidth="1"/>
    <col min="6" max="6" width="16.6640625" style="416" customWidth="1"/>
    <col min="7" max="8" width="14" style="171" customWidth="1"/>
    <col min="9" max="16384" width="9.109375" style="170"/>
  </cols>
  <sheetData>
    <row r="1" spans="1:9" ht="20.399999999999999" hidden="1" customHeight="1"/>
    <row r="2" spans="1:9">
      <c r="B2" s="463" t="s">
        <v>405</v>
      </c>
      <c r="C2" s="463"/>
      <c r="D2" s="463"/>
      <c r="E2" s="463"/>
      <c r="F2" s="463"/>
      <c r="G2" s="463"/>
      <c r="H2" s="463"/>
    </row>
    <row r="3" spans="1:9">
      <c r="B3" s="327"/>
      <c r="C3" s="156"/>
      <c r="D3" s="156"/>
      <c r="E3" s="327"/>
      <c r="F3" s="417"/>
      <c r="G3" s="327"/>
      <c r="H3" s="202" t="s">
        <v>366</v>
      </c>
    </row>
    <row r="4" spans="1:9" ht="55.8" customHeight="1">
      <c r="A4" s="493" t="s">
        <v>153</v>
      </c>
      <c r="B4" s="493"/>
      <c r="C4" s="158" t="s">
        <v>18</v>
      </c>
      <c r="D4" s="346" t="s">
        <v>432</v>
      </c>
      <c r="E4" s="346" t="s">
        <v>433</v>
      </c>
      <c r="F4" s="418" t="s">
        <v>434</v>
      </c>
      <c r="G4" s="346" t="s">
        <v>420</v>
      </c>
      <c r="H4" s="159" t="s">
        <v>393</v>
      </c>
    </row>
    <row r="5" spans="1:9" ht="20.25" customHeight="1">
      <c r="A5" s="494">
        <v>1</v>
      </c>
      <c r="B5" s="494"/>
      <c r="C5" s="346">
        <v>2</v>
      </c>
      <c r="D5" s="346">
        <v>3</v>
      </c>
      <c r="E5" s="346">
        <v>4</v>
      </c>
      <c r="F5" s="418">
        <v>5</v>
      </c>
      <c r="G5" s="346">
        <v>6</v>
      </c>
      <c r="H5" s="346">
        <v>7</v>
      </c>
    </row>
    <row r="6" spans="1:9" ht="31.5" customHeight="1">
      <c r="A6" s="491" t="s">
        <v>233</v>
      </c>
      <c r="B6" s="491"/>
      <c r="C6" s="346"/>
      <c r="D6" s="231"/>
      <c r="E6" s="231"/>
      <c r="F6" s="419"/>
      <c r="G6" s="10"/>
      <c r="H6" s="166"/>
    </row>
    <row r="7" spans="1:9" ht="25.2" customHeight="1">
      <c r="A7" s="488" t="s">
        <v>394</v>
      </c>
      <c r="B7" s="488"/>
      <c r="C7" s="337"/>
      <c r="D7" s="380"/>
      <c r="E7" s="380"/>
      <c r="F7" s="420"/>
      <c r="G7" s="10"/>
      <c r="H7" s="166"/>
    </row>
    <row r="8" spans="1:9" ht="21" customHeight="1">
      <c r="A8" s="489" t="s">
        <v>691</v>
      </c>
      <c r="B8" s="490"/>
      <c r="C8" s="338">
        <v>3030</v>
      </c>
      <c r="D8" s="229">
        <f>SUM(D9:D21)</f>
        <v>401764.3</v>
      </c>
      <c r="E8" s="229">
        <f t="shared" ref="E8:F8" si="0">SUM(E9:E21)</f>
        <v>590042</v>
      </c>
      <c r="F8" s="421">
        <f t="shared" si="0"/>
        <v>425954.3</v>
      </c>
      <c r="G8" s="10">
        <f t="shared" ref="G8:G71" si="1">F8-E8</f>
        <v>-164087.70000000001</v>
      </c>
      <c r="H8" s="166">
        <f t="shared" ref="H8:H71" si="2">(F8/E8)*100</f>
        <v>72.190505082689029</v>
      </c>
    </row>
    <row r="9" spans="1:9" s="28" customFormat="1" ht="36.6" customHeight="1">
      <c r="A9" s="286">
        <v>1</v>
      </c>
      <c r="B9" s="236" t="s">
        <v>692</v>
      </c>
      <c r="C9" s="346"/>
      <c r="D9" s="231"/>
      <c r="E9" s="231">
        <v>88520.3</v>
      </c>
      <c r="F9" s="419"/>
      <c r="G9" s="8">
        <f t="shared" si="1"/>
        <v>-88520.3</v>
      </c>
      <c r="H9" s="145">
        <f t="shared" si="2"/>
        <v>0</v>
      </c>
    </row>
    <row r="10" spans="1:9" ht="21" customHeight="1">
      <c r="A10" s="286">
        <v>2</v>
      </c>
      <c r="B10" s="236" t="s">
        <v>693</v>
      </c>
      <c r="C10" s="346"/>
      <c r="D10" s="231"/>
      <c r="E10" s="231">
        <v>10860.2</v>
      </c>
      <c r="F10" s="419"/>
      <c r="G10" s="8">
        <f>F10-E10</f>
        <v>-10860.2</v>
      </c>
      <c r="H10" s="145">
        <f t="shared" si="2"/>
        <v>0</v>
      </c>
      <c r="I10" s="28"/>
    </row>
    <row r="11" spans="1:9" ht="22.5" customHeight="1">
      <c r="A11" s="287">
        <v>3</v>
      </c>
      <c r="B11" s="230" t="s">
        <v>528</v>
      </c>
      <c r="C11" s="346"/>
      <c r="D11" s="231"/>
      <c r="E11" s="231"/>
      <c r="F11" s="419"/>
      <c r="G11" s="10"/>
      <c r="H11" s="166"/>
      <c r="I11" s="28"/>
    </row>
    <row r="12" spans="1:9" ht="22.5" customHeight="1">
      <c r="A12" s="287" t="s">
        <v>694</v>
      </c>
      <c r="B12" s="236" t="s">
        <v>529</v>
      </c>
      <c r="C12" s="346"/>
      <c r="D12" s="231">
        <v>4364.2</v>
      </c>
      <c r="E12" s="231">
        <v>2789.2</v>
      </c>
      <c r="F12" s="419">
        <f>'Розшифровка фінрезультати'!E81</f>
        <v>2789.2</v>
      </c>
      <c r="G12" s="8">
        <f>F12-E12</f>
        <v>0</v>
      </c>
      <c r="H12" s="145">
        <f t="shared" si="2"/>
        <v>100</v>
      </c>
      <c r="I12" s="28"/>
    </row>
    <row r="13" spans="1:9" s="28" customFormat="1" ht="27.75" customHeight="1">
      <c r="A13" s="287" t="s">
        <v>695</v>
      </c>
      <c r="B13" s="236" t="s">
        <v>696</v>
      </c>
      <c r="C13" s="346"/>
      <c r="D13" s="231">
        <v>2674.7</v>
      </c>
      <c r="E13" s="231">
        <v>667.1</v>
      </c>
      <c r="F13" s="419">
        <f>'Розшифровка фінрезультати'!E82</f>
        <v>667.1</v>
      </c>
      <c r="G13" s="8">
        <f t="shared" si="1"/>
        <v>0</v>
      </c>
      <c r="H13" s="145">
        <f t="shared" si="2"/>
        <v>100</v>
      </c>
    </row>
    <row r="14" spans="1:9" ht="32.4" customHeight="1">
      <c r="A14" s="287" t="s">
        <v>697</v>
      </c>
      <c r="B14" s="236" t="s">
        <v>698</v>
      </c>
      <c r="C14" s="346"/>
      <c r="D14" s="231">
        <v>462.5</v>
      </c>
      <c r="E14" s="231">
        <v>203.4</v>
      </c>
      <c r="F14" s="419">
        <f>'Розшифровка фінрезультати'!E83</f>
        <v>220.2</v>
      </c>
      <c r="G14" s="8">
        <f>F14-E14</f>
        <v>16.799999999999983</v>
      </c>
      <c r="H14" s="145">
        <f t="shared" si="2"/>
        <v>108.25958702064895</v>
      </c>
      <c r="I14" s="28"/>
    </row>
    <row r="15" spans="1:9" ht="51.6" customHeight="1">
      <c r="A15" s="287" t="s">
        <v>699</v>
      </c>
      <c r="B15" s="236" t="s">
        <v>700</v>
      </c>
      <c r="C15" s="346"/>
      <c r="D15" s="231">
        <v>294803.09999999998</v>
      </c>
      <c r="E15" s="231">
        <v>268803.09999999998</v>
      </c>
      <c r="F15" s="419">
        <f>'Розшифровка фінрезультати'!E84</f>
        <v>268803.09999999998</v>
      </c>
      <c r="G15" s="8">
        <f t="shared" si="1"/>
        <v>0</v>
      </c>
      <c r="H15" s="145">
        <f t="shared" si="2"/>
        <v>100</v>
      </c>
      <c r="I15" s="28"/>
    </row>
    <row r="16" spans="1:9" ht="58.5" customHeight="1">
      <c r="A16" s="287" t="s">
        <v>701</v>
      </c>
      <c r="B16" s="236" t="s">
        <v>703</v>
      </c>
      <c r="C16" s="346"/>
      <c r="D16" s="231">
        <v>99459.8</v>
      </c>
      <c r="E16" s="231">
        <v>24153.200000000001</v>
      </c>
      <c r="F16" s="419">
        <f>'Розшифровка фінрезультати'!E85</f>
        <v>24153.3</v>
      </c>
      <c r="G16" s="8">
        <f t="shared" si="1"/>
        <v>9.9999999998544808E-2</v>
      </c>
      <c r="H16" s="145">
        <f t="shared" si="2"/>
        <v>100.00041402381466</v>
      </c>
      <c r="I16" s="28"/>
    </row>
    <row r="17" spans="1:10" s="28" customFormat="1" ht="66.599999999999994" customHeight="1">
      <c r="A17" s="287" t="s">
        <v>702</v>
      </c>
      <c r="B17" s="288" t="s">
        <v>704</v>
      </c>
      <c r="C17" s="346"/>
      <c r="D17" s="372"/>
      <c r="E17" s="231">
        <v>48306.6</v>
      </c>
      <c r="F17" s="419">
        <f>'Розшифровка фінрезультати'!E86</f>
        <v>48306.5</v>
      </c>
      <c r="G17" s="8">
        <f t="shared" si="1"/>
        <v>-9.9999999998544808E-2</v>
      </c>
      <c r="H17" s="145">
        <f t="shared" si="2"/>
        <v>99.99979298894975</v>
      </c>
    </row>
    <row r="18" spans="1:10" s="28" customFormat="1" ht="58.95" customHeight="1">
      <c r="A18" s="287" t="s">
        <v>705</v>
      </c>
      <c r="B18" s="244" t="s">
        <v>535</v>
      </c>
      <c r="C18" s="346"/>
      <c r="D18" s="372"/>
      <c r="E18" s="231">
        <v>61933.4</v>
      </c>
      <c r="F18" s="419">
        <f>'Розшифровка фінрезультати'!E87</f>
        <v>61923.9</v>
      </c>
      <c r="G18" s="8">
        <f t="shared" si="1"/>
        <v>-9.5</v>
      </c>
      <c r="H18" s="145">
        <f t="shared" si="2"/>
        <v>99.984660942237952</v>
      </c>
    </row>
    <row r="19" spans="1:10" ht="57.6" customHeight="1">
      <c r="A19" s="287" t="s">
        <v>706</v>
      </c>
      <c r="B19" s="244" t="s">
        <v>536</v>
      </c>
      <c r="C19" s="346"/>
      <c r="D19" s="229"/>
      <c r="E19" s="231">
        <v>19098.400000000001</v>
      </c>
      <c r="F19" s="419">
        <f>'Розшифровка фінрезультати'!E88</f>
        <v>19091</v>
      </c>
      <c r="G19" s="8">
        <f t="shared" si="1"/>
        <v>-7.4000000000014552</v>
      </c>
      <c r="H19" s="145">
        <f t="shared" si="2"/>
        <v>99.961253298705643</v>
      </c>
      <c r="I19" s="28"/>
      <c r="J19" s="28"/>
    </row>
    <row r="20" spans="1:10" s="28" customFormat="1" ht="27" customHeight="1">
      <c r="A20" s="286">
        <v>4</v>
      </c>
      <c r="B20" s="236" t="s">
        <v>537</v>
      </c>
      <c r="C20" s="346"/>
      <c r="D20" s="231"/>
      <c r="E20" s="231">
        <v>53679.7</v>
      </c>
      <c r="F20" s="419"/>
      <c r="G20" s="8">
        <f t="shared" si="1"/>
        <v>-53679.7</v>
      </c>
      <c r="H20" s="145">
        <f t="shared" si="2"/>
        <v>0</v>
      </c>
    </row>
    <row r="21" spans="1:10" s="28" customFormat="1" ht="45.6" customHeight="1">
      <c r="A21" s="286">
        <v>5</v>
      </c>
      <c r="B21" s="236" t="s">
        <v>707</v>
      </c>
      <c r="C21" s="346"/>
      <c r="D21" s="231"/>
      <c r="E21" s="231">
        <v>11027.4</v>
      </c>
      <c r="F21" s="419"/>
      <c r="G21" s="8">
        <f t="shared" si="1"/>
        <v>-11027.4</v>
      </c>
      <c r="H21" s="145">
        <f t="shared" si="2"/>
        <v>0</v>
      </c>
    </row>
    <row r="22" spans="1:10" s="28" customFormat="1" ht="22.5" customHeight="1">
      <c r="A22" s="492" t="s">
        <v>395</v>
      </c>
      <c r="B22" s="492"/>
      <c r="C22" s="338">
        <v>3080</v>
      </c>
      <c r="D22" s="229">
        <f>SUM(D23:D26)</f>
        <v>6805.6</v>
      </c>
      <c r="E22" s="229">
        <f t="shared" ref="E22:F22" si="3">SUM(E23:E26)</f>
        <v>6500</v>
      </c>
      <c r="F22" s="421">
        <f t="shared" si="3"/>
        <v>6913.4</v>
      </c>
      <c r="G22" s="10">
        <f>F22-E22</f>
        <v>413.39999999999964</v>
      </c>
      <c r="H22" s="166">
        <f t="shared" si="2"/>
        <v>106.35999999999999</v>
      </c>
    </row>
    <row r="23" spans="1:10" ht="39" customHeight="1">
      <c r="A23" s="346">
        <v>1</v>
      </c>
      <c r="B23" s="236" t="s">
        <v>708</v>
      </c>
      <c r="C23" s="346"/>
      <c r="D23" s="231">
        <v>6538.3</v>
      </c>
      <c r="E23" s="231">
        <v>6500</v>
      </c>
      <c r="F23" s="419">
        <v>6440.4</v>
      </c>
      <c r="G23" s="8">
        <f t="shared" si="1"/>
        <v>-59.600000000000364</v>
      </c>
      <c r="H23" s="145">
        <f t="shared" si="2"/>
        <v>99.083076923076916</v>
      </c>
      <c r="I23" s="28"/>
      <c r="J23" s="28"/>
    </row>
    <row r="24" spans="1:10" ht="39" customHeight="1">
      <c r="A24" s="346">
        <v>2</v>
      </c>
      <c r="B24" s="236" t="s">
        <v>798</v>
      </c>
      <c r="C24" s="346"/>
      <c r="D24" s="231"/>
      <c r="E24" s="231"/>
      <c r="F24" s="419">
        <v>220.8</v>
      </c>
      <c r="G24" s="10"/>
      <c r="H24" s="166"/>
      <c r="I24" s="28"/>
      <c r="J24" s="28"/>
    </row>
    <row r="25" spans="1:10" s="200" customFormat="1" ht="27" customHeight="1">
      <c r="A25" s="346">
        <v>3</v>
      </c>
      <c r="B25" s="236" t="s">
        <v>784</v>
      </c>
      <c r="C25" s="346"/>
      <c r="D25" s="231">
        <v>267.3</v>
      </c>
      <c r="E25" s="231"/>
      <c r="F25" s="419">
        <v>252.2</v>
      </c>
      <c r="G25" s="10">
        <f t="shared" si="1"/>
        <v>252.2</v>
      </c>
      <c r="H25" s="166"/>
      <c r="I25" s="28"/>
      <c r="J25" s="28"/>
    </row>
    <row r="26" spans="1:10" s="28" customFormat="1" ht="28.95" customHeight="1">
      <c r="A26" s="488" t="s">
        <v>217</v>
      </c>
      <c r="B26" s="488"/>
      <c r="C26" s="268"/>
      <c r="D26" s="372"/>
      <c r="E26" s="231"/>
      <c r="F26" s="419"/>
      <c r="G26" s="10">
        <f t="shared" si="1"/>
        <v>0</v>
      </c>
      <c r="H26" s="166"/>
    </row>
    <row r="27" spans="1:10" s="28" customFormat="1" ht="35.25" customHeight="1">
      <c r="A27" s="489" t="s">
        <v>396</v>
      </c>
      <c r="B27" s="490"/>
      <c r="C27" s="160">
        <v>3140</v>
      </c>
      <c r="D27" s="229">
        <f>SUM(D28:D30)</f>
        <v>29.900000000000002</v>
      </c>
      <c r="E27" s="229">
        <f t="shared" ref="E27:F27" si="4">SUM(E28:E30)</f>
        <v>41.6</v>
      </c>
      <c r="F27" s="421">
        <f t="shared" si="4"/>
        <v>42.3</v>
      </c>
      <c r="G27" s="10">
        <f>F27-E27</f>
        <v>0.69999999999999574</v>
      </c>
      <c r="H27" s="166">
        <f t="shared" si="2"/>
        <v>101.68269230769229</v>
      </c>
    </row>
    <row r="28" spans="1:10" ht="21" customHeight="1">
      <c r="A28" s="346">
        <v>1</v>
      </c>
      <c r="B28" s="236" t="s">
        <v>709</v>
      </c>
      <c r="C28" s="161"/>
      <c r="D28" s="231">
        <v>2.1</v>
      </c>
      <c r="E28" s="231">
        <v>1.9</v>
      </c>
      <c r="F28" s="419">
        <v>5</v>
      </c>
      <c r="G28" s="8">
        <f t="shared" si="1"/>
        <v>3.1</v>
      </c>
      <c r="H28" s="145">
        <f t="shared" si="2"/>
        <v>263.15789473684214</v>
      </c>
      <c r="I28" s="28"/>
      <c r="J28" s="28"/>
    </row>
    <row r="29" spans="1:10" s="28" customFormat="1" ht="34.5" customHeight="1">
      <c r="A29" s="346">
        <v>2</v>
      </c>
      <c r="B29" s="236" t="s">
        <v>710</v>
      </c>
      <c r="C29" s="161"/>
      <c r="D29" s="231">
        <v>27.6</v>
      </c>
      <c r="E29" s="231">
        <v>39.5</v>
      </c>
      <c r="F29" s="419">
        <v>37.299999999999997</v>
      </c>
      <c r="G29" s="8">
        <f t="shared" si="1"/>
        <v>-2.2000000000000028</v>
      </c>
      <c r="H29" s="145">
        <f t="shared" si="2"/>
        <v>94.430379746835442</v>
      </c>
    </row>
    <row r="30" spans="1:10" s="28" customFormat="1" ht="24" customHeight="1">
      <c r="A30" s="346">
        <v>3</v>
      </c>
      <c r="B30" s="236" t="s">
        <v>711</v>
      </c>
      <c r="C30" s="161"/>
      <c r="D30" s="231">
        <v>0.2</v>
      </c>
      <c r="E30" s="231">
        <v>0.2</v>
      </c>
      <c r="F30" s="419"/>
      <c r="G30" s="8">
        <f>F30-E30</f>
        <v>-0.2</v>
      </c>
      <c r="H30" s="145">
        <f t="shared" si="2"/>
        <v>0</v>
      </c>
    </row>
    <row r="31" spans="1:10" s="28" customFormat="1" ht="26.25" customHeight="1">
      <c r="A31" s="489" t="s">
        <v>206</v>
      </c>
      <c r="B31" s="490"/>
      <c r="C31" s="160">
        <v>3160</v>
      </c>
      <c r="D31" s="229">
        <f>SUM(D32:D71)</f>
        <v>29180.400000000005</v>
      </c>
      <c r="E31" s="229">
        <f t="shared" ref="E31:F31" si="5">SUM(E32:E71)</f>
        <v>29045.7</v>
      </c>
      <c r="F31" s="421">
        <f t="shared" si="5"/>
        <v>32586.300000000003</v>
      </c>
      <c r="G31" s="10">
        <f t="shared" si="1"/>
        <v>3540.6000000000022</v>
      </c>
      <c r="H31" s="166">
        <f t="shared" si="2"/>
        <v>112.18975614290585</v>
      </c>
    </row>
    <row r="32" spans="1:10" s="28" customFormat="1" ht="34.5" customHeight="1">
      <c r="A32" s="346">
        <v>1</v>
      </c>
      <c r="B32" s="236" t="s">
        <v>712</v>
      </c>
      <c r="C32" s="161"/>
      <c r="D32" s="231">
        <v>1629.7</v>
      </c>
      <c r="E32" s="231">
        <v>1500</v>
      </c>
      <c r="F32" s="419">
        <v>1902.1</v>
      </c>
      <c r="G32" s="8">
        <f t="shared" si="1"/>
        <v>402.09999999999991</v>
      </c>
      <c r="H32" s="145">
        <f t="shared" si="2"/>
        <v>126.80666666666667</v>
      </c>
    </row>
    <row r="33" spans="1:10" s="28" customFormat="1" ht="20.25" customHeight="1">
      <c r="A33" s="346">
        <v>2</v>
      </c>
      <c r="B33" s="236" t="s">
        <v>713</v>
      </c>
      <c r="C33" s="161"/>
      <c r="D33" s="231">
        <v>11.1</v>
      </c>
      <c r="E33" s="231">
        <v>90</v>
      </c>
      <c r="F33" s="419">
        <v>81.5</v>
      </c>
      <c r="G33" s="8">
        <f t="shared" si="1"/>
        <v>-8.5</v>
      </c>
      <c r="H33" s="145">
        <f t="shared" si="2"/>
        <v>90.555555555555557</v>
      </c>
    </row>
    <row r="34" spans="1:10" s="28" customFormat="1" ht="35.25" customHeight="1">
      <c r="A34" s="346">
        <v>3</v>
      </c>
      <c r="B34" s="236" t="s">
        <v>714</v>
      </c>
      <c r="C34" s="161"/>
      <c r="D34" s="231">
        <v>519</v>
      </c>
      <c r="E34" s="231">
        <v>270</v>
      </c>
      <c r="F34" s="419">
        <v>497</v>
      </c>
      <c r="G34" s="8">
        <f t="shared" si="1"/>
        <v>227</v>
      </c>
      <c r="H34" s="145">
        <f t="shared" si="2"/>
        <v>184.07407407407408</v>
      </c>
    </row>
    <row r="35" spans="1:10" s="28" customFormat="1" ht="27" customHeight="1">
      <c r="A35" s="346">
        <v>4</v>
      </c>
      <c r="B35" s="236" t="s">
        <v>715</v>
      </c>
      <c r="C35" s="161"/>
      <c r="D35" s="231">
        <v>192.4</v>
      </c>
      <c r="E35" s="231">
        <v>212</v>
      </c>
      <c r="F35" s="419">
        <v>179.5</v>
      </c>
      <c r="G35" s="8">
        <f t="shared" si="1"/>
        <v>-32.5</v>
      </c>
      <c r="H35" s="145">
        <f t="shared" si="2"/>
        <v>84.669811320754718</v>
      </c>
    </row>
    <row r="36" spans="1:10" s="28" customFormat="1" ht="58.95" customHeight="1">
      <c r="A36" s="346">
        <v>5</v>
      </c>
      <c r="B36" s="236" t="s">
        <v>716</v>
      </c>
      <c r="C36" s="161"/>
      <c r="D36" s="231">
        <v>4462</v>
      </c>
      <c r="E36" s="231">
        <v>2500</v>
      </c>
      <c r="F36" s="419">
        <v>3496.1</v>
      </c>
      <c r="G36" s="8">
        <f t="shared" si="1"/>
        <v>996.09999999999991</v>
      </c>
      <c r="H36" s="145">
        <f t="shared" si="2"/>
        <v>139.84399999999999</v>
      </c>
    </row>
    <row r="37" spans="1:10" s="28" customFormat="1" ht="21" customHeight="1">
      <c r="A37" s="346">
        <v>6</v>
      </c>
      <c r="B37" s="236" t="s">
        <v>717</v>
      </c>
      <c r="C37" s="161"/>
      <c r="D37" s="231">
        <v>62.6</v>
      </c>
      <c r="E37" s="231">
        <v>63.7</v>
      </c>
      <c r="F37" s="419">
        <v>175.3</v>
      </c>
      <c r="G37" s="8">
        <f t="shared" si="1"/>
        <v>111.60000000000001</v>
      </c>
      <c r="H37" s="145">
        <f t="shared" si="2"/>
        <v>275.19623233908948</v>
      </c>
    </row>
    <row r="38" spans="1:10" s="28" customFormat="1" ht="42.75" customHeight="1">
      <c r="A38" s="346">
        <v>7</v>
      </c>
      <c r="B38" s="236" t="s">
        <v>718</v>
      </c>
      <c r="C38" s="161"/>
      <c r="D38" s="372">
        <v>66.599999999999994</v>
      </c>
      <c r="E38" s="231">
        <v>150</v>
      </c>
      <c r="F38" s="419">
        <v>3.9</v>
      </c>
      <c r="G38" s="8">
        <f t="shared" si="1"/>
        <v>-146.1</v>
      </c>
      <c r="H38" s="145">
        <f t="shared" si="2"/>
        <v>2.6</v>
      </c>
    </row>
    <row r="39" spans="1:10" s="201" customFormat="1" ht="30" customHeight="1">
      <c r="A39" s="346">
        <v>8</v>
      </c>
      <c r="B39" s="236" t="s">
        <v>719</v>
      </c>
      <c r="C39" s="161"/>
      <c r="D39" s="381">
        <v>239.8</v>
      </c>
      <c r="E39" s="381">
        <v>340.9</v>
      </c>
      <c r="F39" s="422">
        <v>412.2</v>
      </c>
      <c r="G39" s="8">
        <f t="shared" si="1"/>
        <v>71.300000000000011</v>
      </c>
      <c r="H39" s="145">
        <f t="shared" si="2"/>
        <v>120.91522440598416</v>
      </c>
    </row>
    <row r="40" spans="1:10" s="192" customFormat="1" ht="21" customHeight="1">
      <c r="A40" s="346">
        <v>9</v>
      </c>
      <c r="B40" s="236" t="s">
        <v>720</v>
      </c>
      <c r="C40" s="161"/>
      <c r="D40" s="234">
        <v>131.5</v>
      </c>
      <c r="E40" s="234">
        <v>188.1</v>
      </c>
      <c r="F40" s="411">
        <v>131.5</v>
      </c>
      <c r="G40" s="8">
        <f t="shared" si="1"/>
        <v>-56.599999999999994</v>
      </c>
      <c r="H40" s="145">
        <f t="shared" si="2"/>
        <v>69.909622541201486</v>
      </c>
    </row>
    <row r="41" spans="1:10" s="28" customFormat="1" ht="39.6" customHeight="1">
      <c r="A41" s="346">
        <v>10</v>
      </c>
      <c r="B41" s="236" t="s">
        <v>721</v>
      </c>
      <c r="C41" s="161"/>
      <c r="D41" s="234">
        <v>48.7</v>
      </c>
      <c r="E41" s="231">
        <v>210</v>
      </c>
      <c r="F41" s="419">
        <v>48.7</v>
      </c>
      <c r="G41" s="8">
        <f t="shared" si="1"/>
        <v>-161.30000000000001</v>
      </c>
      <c r="H41" s="145">
        <f t="shared" si="2"/>
        <v>23.190476190476193</v>
      </c>
    </row>
    <row r="42" spans="1:10" ht="31.95" customHeight="1">
      <c r="A42" s="346">
        <v>11</v>
      </c>
      <c r="B42" s="236" t="s">
        <v>722</v>
      </c>
      <c r="C42" s="161"/>
      <c r="D42" s="234">
        <v>50.3</v>
      </c>
      <c r="E42" s="231">
        <v>52.8</v>
      </c>
      <c r="F42" s="419">
        <v>51.8</v>
      </c>
      <c r="G42" s="8">
        <f t="shared" si="1"/>
        <v>-1</v>
      </c>
      <c r="H42" s="145">
        <f t="shared" si="2"/>
        <v>98.106060606060609</v>
      </c>
      <c r="I42" s="96"/>
      <c r="J42" s="96"/>
    </row>
    <row r="43" spans="1:10" ht="18.75" customHeight="1">
      <c r="A43" s="346">
        <v>12</v>
      </c>
      <c r="B43" s="236" t="s">
        <v>502</v>
      </c>
      <c r="C43" s="161"/>
      <c r="D43" s="234">
        <v>36.200000000000003</v>
      </c>
      <c r="E43" s="231">
        <v>20</v>
      </c>
      <c r="F43" s="419">
        <v>92.2</v>
      </c>
      <c r="G43" s="8">
        <f t="shared" si="1"/>
        <v>72.2</v>
      </c>
      <c r="H43" s="145">
        <f t="shared" si="2"/>
        <v>461.00000000000006</v>
      </c>
      <c r="I43" s="348"/>
      <c r="J43" s="348"/>
    </row>
    <row r="44" spans="1:10">
      <c r="A44" s="346">
        <v>13</v>
      </c>
      <c r="B44" s="236" t="s">
        <v>723</v>
      </c>
      <c r="C44" s="161"/>
      <c r="D44" s="234">
        <v>4653.2</v>
      </c>
      <c r="E44" s="231">
        <v>5116.8999999999996</v>
      </c>
      <c r="F44" s="419">
        <v>4864.1000000000004</v>
      </c>
      <c r="G44" s="8">
        <f t="shared" si="1"/>
        <v>-252.79999999999927</v>
      </c>
      <c r="H44" s="145">
        <f t="shared" si="2"/>
        <v>95.059508686900287</v>
      </c>
    </row>
    <row r="45" spans="1:10">
      <c r="A45" s="346">
        <v>14</v>
      </c>
      <c r="B45" s="236" t="s">
        <v>724</v>
      </c>
      <c r="C45" s="161"/>
      <c r="D45" s="234">
        <v>4479.7</v>
      </c>
      <c r="E45" s="231">
        <v>4964</v>
      </c>
      <c r="F45" s="419">
        <v>5946.1</v>
      </c>
      <c r="G45" s="8">
        <f t="shared" si="1"/>
        <v>982.10000000000036</v>
      </c>
      <c r="H45" s="145">
        <f t="shared" si="2"/>
        <v>119.78444802578568</v>
      </c>
    </row>
    <row r="46" spans="1:10">
      <c r="A46" s="346">
        <v>15</v>
      </c>
      <c r="B46" s="230" t="s">
        <v>725</v>
      </c>
      <c r="C46" s="161"/>
      <c r="D46" s="234"/>
      <c r="E46" s="231">
        <v>1211</v>
      </c>
      <c r="F46" s="419">
        <v>973.5</v>
      </c>
      <c r="G46" s="8">
        <f t="shared" si="1"/>
        <v>-237.5</v>
      </c>
      <c r="H46" s="145">
        <f t="shared" si="2"/>
        <v>80.388109000825764</v>
      </c>
    </row>
    <row r="47" spans="1:10">
      <c r="A47" s="346">
        <v>16</v>
      </c>
      <c r="B47" s="236" t="s">
        <v>482</v>
      </c>
      <c r="C47" s="161"/>
      <c r="D47" s="234">
        <v>142.9</v>
      </c>
      <c r="E47" s="231">
        <v>110</v>
      </c>
      <c r="F47" s="419"/>
      <c r="G47" s="8">
        <f t="shared" si="1"/>
        <v>-110</v>
      </c>
      <c r="H47" s="145">
        <f t="shared" si="2"/>
        <v>0</v>
      </c>
    </row>
    <row r="48" spans="1:10">
      <c r="A48" s="346">
        <v>17</v>
      </c>
      <c r="B48" s="236" t="s">
        <v>726</v>
      </c>
      <c r="C48" s="161"/>
      <c r="D48" s="234">
        <v>203</v>
      </c>
      <c r="E48" s="231">
        <v>250</v>
      </c>
      <c r="F48" s="419">
        <v>125.9</v>
      </c>
      <c r="G48" s="8">
        <f t="shared" si="1"/>
        <v>-124.1</v>
      </c>
      <c r="H48" s="145">
        <f t="shared" si="2"/>
        <v>50.360000000000007</v>
      </c>
    </row>
    <row r="49" spans="1:8">
      <c r="A49" s="346">
        <v>18</v>
      </c>
      <c r="B49" s="236" t="s">
        <v>727</v>
      </c>
      <c r="C49" s="161"/>
      <c r="D49" s="234">
        <v>363.2</v>
      </c>
      <c r="E49" s="231">
        <v>560</v>
      </c>
      <c r="F49" s="419">
        <v>362.7</v>
      </c>
      <c r="G49" s="8">
        <f t="shared" si="1"/>
        <v>-197.3</v>
      </c>
      <c r="H49" s="145">
        <f t="shared" si="2"/>
        <v>64.767857142857139</v>
      </c>
    </row>
    <row r="50" spans="1:8">
      <c r="A50" s="346">
        <v>19</v>
      </c>
      <c r="B50" s="236" t="s">
        <v>728</v>
      </c>
      <c r="C50" s="161"/>
      <c r="D50" s="234">
        <v>410.6</v>
      </c>
      <c r="E50" s="231">
        <v>450</v>
      </c>
      <c r="F50" s="419">
        <v>699.3</v>
      </c>
      <c r="G50" s="8">
        <f t="shared" si="1"/>
        <v>249.29999999999995</v>
      </c>
      <c r="H50" s="145">
        <f t="shared" si="2"/>
        <v>155.39999999999998</v>
      </c>
    </row>
    <row r="51" spans="1:8">
      <c r="A51" s="346">
        <v>20</v>
      </c>
      <c r="B51" s="236" t="s">
        <v>729</v>
      </c>
      <c r="C51" s="161"/>
      <c r="D51" s="234">
        <v>65.3</v>
      </c>
      <c r="E51" s="231">
        <v>63.3</v>
      </c>
      <c r="F51" s="419">
        <v>62.4</v>
      </c>
      <c r="G51" s="8">
        <f t="shared" si="1"/>
        <v>-0.89999999999999858</v>
      </c>
      <c r="H51" s="145">
        <f t="shared" si="2"/>
        <v>98.578199052132703</v>
      </c>
    </row>
    <row r="52" spans="1:8">
      <c r="A52" s="346">
        <v>21</v>
      </c>
      <c r="B52" s="236" t="s">
        <v>730</v>
      </c>
      <c r="C52" s="161"/>
      <c r="D52" s="234">
        <v>200.9</v>
      </c>
      <c r="E52" s="231">
        <v>360</v>
      </c>
      <c r="F52" s="419">
        <v>58.2</v>
      </c>
      <c r="G52" s="8">
        <f t="shared" si="1"/>
        <v>-301.8</v>
      </c>
      <c r="H52" s="145">
        <f t="shared" si="2"/>
        <v>16.166666666666668</v>
      </c>
    </row>
    <row r="53" spans="1:8">
      <c r="A53" s="346">
        <v>22</v>
      </c>
      <c r="B53" s="236" t="s">
        <v>788</v>
      </c>
      <c r="C53" s="161"/>
      <c r="D53" s="234">
        <v>867.8</v>
      </c>
      <c r="E53" s="231"/>
      <c r="F53" s="419">
        <v>721.2</v>
      </c>
      <c r="G53" s="8"/>
      <c r="H53" s="145"/>
    </row>
    <row r="54" spans="1:8">
      <c r="A54" s="346">
        <v>23</v>
      </c>
      <c r="B54" s="236" t="s">
        <v>731</v>
      </c>
      <c r="C54" s="161"/>
      <c r="D54" s="234"/>
      <c r="E54" s="231"/>
      <c r="F54" s="419"/>
      <c r="G54" s="8"/>
      <c r="H54" s="145"/>
    </row>
    <row r="55" spans="1:8">
      <c r="A55" s="346"/>
      <c r="B55" s="236" t="s">
        <v>732</v>
      </c>
      <c r="C55" s="161"/>
      <c r="D55" s="234">
        <v>104.7</v>
      </c>
      <c r="E55" s="231">
        <v>1500</v>
      </c>
      <c r="F55" s="419">
        <v>144.1</v>
      </c>
      <c r="G55" s="8">
        <f t="shared" si="1"/>
        <v>-1355.9</v>
      </c>
      <c r="H55" s="145">
        <f t="shared" si="2"/>
        <v>9.6066666666666656</v>
      </c>
    </row>
    <row r="56" spans="1:8">
      <c r="A56" s="346"/>
      <c r="B56" s="236" t="s">
        <v>733</v>
      </c>
      <c r="C56" s="161"/>
      <c r="D56" s="234">
        <v>291.39999999999998</v>
      </c>
      <c r="E56" s="231">
        <v>260</v>
      </c>
      <c r="F56" s="419">
        <v>321</v>
      </c>
      <c r="G56" s="8">
        <f t="shared" si="1"/>
        <v>61</v>
      </c>
      <c r="H56" s="145">
        <f t="shared" si="2"/>
        <v>123.46153846153847</v>
      </c>
    </row>
    <row r="57" spans="1:8" ht="36">
      <c r="A57" s="346"/>
      <c r="B57" s="236" t="s">
        <v>734</v>
      </c>
      <c r="C57" s="161"/>
      <c r="D57" s="234">
        <v>1793.3</v>
      </c>
      <c r="E57" s="231"/>
      <c r="F57" s="419">
        <v>1348.6</v>
      </c>
      <c r="G57" s="8">
        <f t="shared" si="1"/>
        <v>1348.6</v>
      </c>
      <c r="H57" s="145"/>
    </row>
    <row r="58" spans="1:8">
      <c r="A58" s="346"/>
      <c r="B58" s="236" t="s">
        <v>735</v>
      </c>
      <c r="C58" s="161"/>
      <c r="D58" s="234"/>
      <c r="E58" s="231"/>
      <c r="F58" s="419">
        <v>600</v>
      </c>
      <c r="G58" s="8">
        <f t="shared" si="1"/>
        <v>600</v>
      </c>
      <c r="H58" s="145"/>
    </row>
    <row r="59" spans="1:8">
      <c r="A59" s="346"/>
      <c r="B59" s="236" t="s">
        <v>785</v>
      </c>
      <c r="C59" s="161"/>
      <c r="D59" s="234">
        <v>177.9</v>
      </c>
      <c r="E59" s="231"/>
      <c r="F59" s="419">
        <v>229.8</v>
      </c>
      <c r="G59" s="8"/>
      <c r="H59" s="145"/>
    </row>
    <row r="60" spans="1:8">
      <c r="A60" s="346"/>
      <c r="B60" s="236" t="s">
        <v>736</v>
      </c>
      <c r="C60" s="161"/>
      <c r="D60" s="234"/>
      <c r="E60" s="231">
        <v>50</v>
      </c>
      <c r="F60" s="419"/>
      <c r="G60" s="8">
        <f t="shared" si="1"/>
        <v>-50</v>
      </c>
      <c r="H60" s="145">
        <f t="shared" si="2"/>
        <v>0</v>
      </c>
    </row>
    <row r="61" spans="1:8">
      <c r="A61" s="346"/>
      <c r="B61" s="236" t="s">
        <v>737</v>
      </c>
      <c r="C61" s="161"/>
      <c r="D61" s="234">
        <v>51</v>
      </c>
      <c r="E61" s="231">
        <v>500</v>
      </c>
      <c r="F61" s="419"/>
      <c r="G61" s="8">
        <f t="shared" si="1"/>
        <v>-500</v>
      </c>
      <c r="H61" s="145">
        <f t="shared" si="2"/>
        <v>0</v>
      </c>
    </row>
    <row r="62" spans="1:8">
      <c r="A62" s="346"/>
      <c r="B62" s="236" t="s">
        <v>738</v>
      </c>
      <c r="C62" s="161"/>
      <c r="D62" s="234">
        <v>1015.6</v>
      </c>
      <c r="E62" s="231">
        <v>1500</v>
      </c>
      <c r="F62" s="419">
        <v>1170.4000000000001</v>
      </c>
      <c r="G62" s="8">
        <f t="shared" si="1"/>
        <v>-329.59999999999991</v>
      </c>
      <c r="H62" s="145">
        <f t="shared" si="2"/>
        <v>78.026666666666671</v>
      </c>
    </row>
    <row r="63" spans="1:8">
      <c r="A63" s="346"/>
      <c r="B63" s="236" t="s">
        <v>739</v>
      </c>
      <c r="C63" s="161"/>
      <c r="D63" s="234">
        <v>2956.1</v>
      </c>
      <c r="E63" s="231">
        <v>1520</v>
      </c>
      <c r="F63" s="419">
        <v>2567.6999999999998</v>
      </c>
      <c r="G63" s="8">
        <f t="shared" si="1"/>
        <v>1047.6999999999998</v>
      </c>
      <c r="H63" s="145">
        <f t="shared" si="2"/>
        <v>168.92763157894734</v>
      </c>
    </row>
    <row r="64" spans="1:8">
      <c r="A64" s="346"/>
      <c r="B64" s="236" t="s">
        <v>740</v>
      </c>
      <c r="C64" s="161"/>
      <c r="D64" s="234">
        <v>1063</v>
      </c>
      <c r="E64" s="231">
        <v>1080</v>
      </c>
      <c r="F64" s="419">
        <v>1007.5</v>
      </c>
      <c r="G64" s="8">
        <f t="shared" si="1"/>
        <v>-72.5</v>
      </c>
      <c r="H64" s="145">
        <f t="shared" si="2"/>
        <v>93.287037037037038</v>
      </c>
    </row>
    <row r="65" spans="1:8">
      <c r="A65" s="346"/>
      <c r="B65" s="236" t="s">
        <v>786</v>
      </c>
      <c r="C65" s="161"/>
      <c r="D65" s="234">
        <v>125.9</v>
      </c>
      <c r="E65" s="231"/>
      <c r="F65" s="419"/>
      <c r="G65" s="8"/>
      <c r="H65" s="145"/>
    </row>
    <row r="66" spans="1:8">
      <c r="A66" s="346"/>
      <c r="B66" s="236" t="s">
        <v>787</v>
      </c>
      <c r="C66" s="161"/>
      <c r="D66" s="234">
        <v>220</v>
      </c>
      <c r="E66" s="231"/>
      <c r="F66" s="419"/>
      <c r="G66" s="8"/>
      <c r="H66" s="145"/>
    </row>
    <row r="67" spans="1:8" hidden="1">
      <c r="A67" s="346"/>
      <c r="B67" s="236" t="s">
        <v>741</v>
      </c>
      <c r="C67" s="161"/>
      <c r="D67" s="234"/>
      <c r="E67" s="231"/>
      <c r="F67" s="419"/>
      <c r="G67" s="8">
        <f t="shared" si="1"/>
        <v>0</v>
      </c>
      <c r="H67" s="145"/>
    </row>
    <row r="68" spans="1:8" ht="36">
      <c r="A68" s="346"/>
      <c r="B68" s="236" t="s">
        <v>742</v>
      </c>
      <c r="C68" s="161"/>
      <c r="D68" s="234"/>
      <c r="E68" s="231"/>
      <c r="F68" s="419"/>
      <c r="G68" s="8">
        <f t="shared" si="1"/>
        <v>0</v>
      </c>
      <c r="H68" s="145"/>
    </row>
    <row r="69" spans="1:8">
      <c r="A69" s="346"/>
      <c r="B69" s="236" t="s">
        <v>743</v>
      </c>
      <c r="C69" s="161"/>
      <c r="D69" s="234"/>
      <c r="E69" s="231">
        <v>600</v>
      </c>
      <c r="F69" s="419"/>
      <c r="G69" s="8">
        <f t="shared" si="1"/>
        <v>-600</v>
      </c>
      <c r="H69" s="145">
        <f t="shared" si="2"/>
        <v>0</v>
      </c>
    </row>
    <row r="70" spans="1:8" ht="36">
      <c r="A70" s="346"/>
      <c r="B70" s="236" t="s">
        <v>744</v>
      </c>
      <c r="C70" s="161"/>
      <c r="D70" s="234"/>
      <c r="E70" s="231"/>
      <c r="F70" s="419"/>
      <c r="G70" s="8">
        <f t="shared" si="1"/>
        <v>0</v>
      </c>
      <c r="H70" s="145"/>
    </row>
    <row r="71" spans="1:8">
      <c r="A71" s="346"/>
      <c r="B71" s="236" t="s">
        <v>745</v>
      </c>
      <c r="C71" s="161"/>
      <c r="D71" s="234">
        <v>2545</v>
      </c>
      <c r="E71" s="231">
        <v>3353</v>
      </c>
      <c r="F71" s="419">
        <v>4312</v>
      </c>
      <c r="G71" s="8">
        <f t="shared" si="1"/>
        <v>959</v>
      </c>
      <c r="H71" s="145">
        <f t="shared" si="2"/>
        <v>128.60125260960334</v>
      </c>
    </row>
    <row r="72" spans="1:8" ht="18" customHeight="1">
      <c r="A72" s="495" t="s">
        <v>234</v>
      </c>
      <c r="B72" s="495"/>
      <c r="C72" s="160"/>
      <c r="D72" s="234"/>
      <c r="E72" s="231"/>
      <c r="F72" s="419"/>
      <c r="G72" s="8"/>
      <c r="H72" s="145"/>
    </row>
    <row r="73" spans="1:8" ht="18" customHeight="1">
      <c r="A73" s="496" t="s">
        <v>210</v>
      </c>
      <c r="B73" s="497"/>
      <c r="C73" s="268"/>
      <c r="D73" s="234"/>
      <c r="E73" s="231"/>
      <c r="F73" s="419"/>
      <c r="G73" s="8"/>
      <c r="H73" s="145"/>
    </row>
    <row r="74" spans="1:8">
      <c r="A74" s="498" t="s">
        <v>395</v>
      </c>
      <c r="B74" s="499"/>
      <c r="C74" s="160">
        <v>3240</v>
      </c>
      <c r="D74" s="373">
        <v>0</v>
      </c>
      <c r="E74" s="229"/>
      <c r="F74" s="421"/>
      <c r="G74" s="10"/>
      <c r="H74" s="166"/>
    </row>
    <row r="75" spans="1:8" ht="18" customHeight="1">
      <c r="A75" s="500" t="s">
        <v>218</v>
      </c>
      <c r="B75" s="500"/>
      <c r="C75" s="268"/>
      <c r="D75" s="234"/>
      <c r="E75" s="231"/>
      <c r="F75" s="419"/>
      <c r="G75" s="10"/>
      <c r="H75" s="166"/>
    </row>
    <row r="76" spans="1:8" ht="18" customHeight="1">
      <c r="A76" s="501" t="s">
        <v>371</v>
      </c>
      <c r="B76" s="501"/>
      <c r="C76" s="161"/>
      <c r="D76" s="234"/>
      <c r="E76" s="231"/>
      <c r="F76" s="419"/>
      <c r="G76" s="10"/>
      <c r="H76" s="166"/>
    </row>
    <row r="77" spans="1:8" ht="18" customHeight="1">
      <c r="A77" s="502" t="s">
        <v>397</v>
      </c>
      <c r="B77" s="503"/>
      <c r="C77" s="160">
        <v>3271</v>
      </c>
      <c r="D77" s="373">
        <f>D78</f>
        <v>0</v>
      </c>
      <c r="E77" s="373">
        <f t="shared" ref="E77:F77" si="6">E78</f>
        <v>0</v>
      </c>
      <c r="F77" s="423">
        <f t="shared" si="6"/>
        <v>0</v>
      </c>
      <c r="G77" s="10">
        <f t="shared" ref="G77:G138" si="7">F77-E77</f>
        <v>0</v>
      </c>
      <c r="H77" s="166"/>
    </row>
    <row r="78" spans="1:8" ht="36" hidden="1">
      <c r="A78" s="289"/>
      <c r="B78" s="236" t="s">
        <v>746</v>
      </c>
      <c r="C78" s="161"/>
      <c r="D78" s="234"/>
      <c r="E78" s="231"/>
      <c r="F78" s="419"/>
      <c r="G78" s="10"/>
      <c r="H78" s="166"/>
    </row>
    <row r="79" spans="1:8" ht="18" customHeight="1">
      <c r="A79" s="501" t="s">
        <v>747</v>
      </c>
      <c r="B79" s="501"/>
      <c r="C79" s="160">
        <v>3272</v>
      </c>
      <c r="D79" s="373">
        <f>SUM(D80:D123)</f>
        <v>5208.5</v>
      </c>
      <c r="E79" s="373">
        <f t="shared" ref="E79:F79" si="8">SUM(E80:E123)</f>
        <v>48020.4</v>
      </c>
      <c r="F79" s="423">
        <f t="shared" si="8"/>
        <v>32160.799999999999</v>
      </c>
      <c r="G79" s="10">
        <f t="shared" si="7"/>
        <v>-15859.600000000002</v>
      </c>
      <c r="H79" s="166">
        <f t="shared" ref="H79:H138" si="9">(F79/E79)*100</f>
        <v>66.973203055368131</v>
      </c>
    </row>
    <row r="80" spans="1:8" hidden="1">
      <c r="A80" s="48">
        <v>1</v>
      </c>
      <c r="B80" s="236" t="s">
        <v>748</v>
      </c>
      <c r="C80" s="161"/>
      <c r="D80" s="234"/>
      <c r="E80" s="231"/>
      <c r="F80" s="419"/>
      <c r="G80" s="8">
        <f t="shared" si="7"/>
        <v>0</v>
      </c>
      <c r="H80" s="145"/>
    </row>
    <row r="81" spans="1:8" hidden="1">
      <c r="A81" s="48">
        <v>2</v>
      </c>
      <c r="B81" s="236" t="s">
        <v>749</v>
      </c>
      <c r="C81" s="161"/>
      <c r="D81" s="234"/>
      <c r="E81" s="231"/>
      <c r="F81" s="419"/>
      <c r="G81" s="8">
        <f t="shared" si="7"/>
        <v>0</v>
      </c>
      <c r="H81" s="145"/>
    </row>
    <row r="82" spans="1:8" hidden="1">
      <c r="A82" s="48">
        <v>3</v>
      </c>
      <c r="B82" s="236" t="s">
        <v>564</v>
      </c>
      <c r="C82" s="161"/>
      <c r="D82" s="234"/>
      <c r="E82" s="231"/>
      <c r="F82" s="419"/>
      <c r="G82" s="8">
        <f t="shared" si="7"/>
        <v>0</v>
      </c>
      <c r="H82" s="145"/>
    </row>
    <row r="83" spans="1:8" hidden="1">
      <c r="A83" s="48">
        <v>4</v>
      </c>
      <c r="B83" s="236" t="s">
        <v>750</v>
      </c>
      <c r="C83" s="161"/>
      <c r="D83" s="234"/>
      <c r="E83" s="231"/>
      <c r="F83" s="419"/>
      <c r="G83" s="8">
        <f t="shared" si="7"/>
        <v>0</v>
      </c>
      <c r="H83" s="145"/>
    </row>
    <row r="84" spans="1:8" hidden="1">
      <c r="A84" s="48">
        <v>5</v>
      </c>
      <c r="B84" s="236" t="s">
        <v>751</v>
      </c>
      <c r="C84" s="161"/>
      <c r="D84" s="234"/>
      <c r="E84" s="231"/>
      <c r="F84" s="419"/>
      <c r="G84" s="8">
        <f t="shared" si="7"/>
        <v>0</v>
      </c>
      <c r="H84" s="145"/>
    </row>
    <row r="85" spans="1:8" hidden="1">
      <c r="A85" s="48">
        <v>6</v>
      </c>
      <c r="B85" s="236" t="s">
        <v>566</v>
      </c>
      <c r="C85" s="161"/>
      <c r="D85" s="234"/>
      <c r="E85" s="231"/>
      <c r="F85" s="419"/>
      <c r="G85" s="8">
        <f t="shared" si="7"/>
        <v>0</v>
      </c>
      <c r="H85" s="145"/>
    </row>
    <row r="86" spans="1:8" hidden="1">
      <c r="A86" s="48">
        <v>7</v>
      </c>
      <c r="B86" s="236" t="s">
        <v>567</v>
      </c>
      <c r="C86" s="161"/>
      <c r="D86" s="234"/>
      <c r="E86" s="231"/>
      <c r="F86" s="419"/>
      <c r="G86" s="8">
        <f t="shared" si="7"/>
        <v>0</v>
      </c>
      <c r="H86" s="145"/>
    </row>
    <row r="87" spans="1:8" hidden="1">
      <c r="A87" s="48">
        <v>8</v>
      </c>
      <c r="B87" s="236" t="s">
        <v>568</v>
      </c>
      <c r="C87" s="161"/>
      <c r="D87" s="234"/>
      <c r="E87" s="231"/>
      <c r="F87" s="419"/>
      <c r="G87" s="8">
        <f t="shared" si="7"/>
        <v>0</v>
      </c>
      <c r="H87" s="145"/>
    </row>
    <row r="88" spans="1:8" hidden="1">
      <c r="A88" s="48">
        <v>9</v>
      </c>
      <c r="B88" s="236" t="s">
        <v>569</v>
      </c>
      <c r="C88" s="161"/>
      <c r="D88" s="234"/>
      <c r="E88" s="231"/>
      <c r="F88" s="419"/>
      <c r="G88" s="8">
        <f t="shared" si="7"/>
        <v>0</v>
      </c>
      <c r="H88" s="145"/>
    </row>
    <row r="89" spans="1:8" hidden="1">
      <c r="A89" s="48">
        <v>10</v>
      </c>
      <c r="B89" s="236" t="s">
        <v>570</v>
      </c>
      <c r="C89" s="161"/>
      <c r="D89" s="234"/>
      <c r="E89" s="231"/>
      <c r="F89" s="419"/>
      <c r="G89" s="8">
        <f t="shared" si="7"/>
        <v>0</v>
      </c>
      <c r="H89" s="145"/>
    </row>
    <row r="90" spans="1:8" hidden="1">
      <c r="A90" s="48">
        <v>11</v>
      </c>
      <c r="B90" s="236" t="s">
        <v>752</v>
      </c>
      <c r="C90" s="161"/>
      <c r="D90" s="234"/>
      <c r="E90" s="231"/>
      <c r="F90" s="419"/>
      <c r="G90" s="8">
        <f t="shared" si="7"/>
        <v>0</v>
      </c>
      <c r="H90" s="145"/>
    </row>
    <row r="91" spans="1:8" ht="36">
      <c r="A91" s="48">
        <v>1</v>
      </c>
      <c r="B91" s="236" t="s">
        <v>573</v>
      </c>
      <c r="C91" s="161"/>
      <c r="D91" s="234"/>
      <c r="E91" s="231">
        <v>400</v>
      </c>
      <c r="F91" s="419"/>
      <c r="G91" s="8">
        <f t="shared" ref="G91:G123" si="10">F91-E91</f>
        <v>-400</v>
      </c>
      <c r="H91" s="145">
        <f>(F91/E91)*100</f>
        <v>0</v>
      </c>
    </row>
    <row r="92" spans="1:8">
      <c r="A92" s="48">
        <v>2</v>
      </c>
      <c r="B92" s="236" t="s">
        <v>753</v>
      </c>
      <c r="C92" s="161"/>
      <c r="D92" s="234">
        <v>3233.1</v>
      </c>
      <c r="E92" s="231"/>
      <c r="F92" s="419"/>
      <c r="G92" s="8">
        <f t="shared" si="10"/>
        <v>0</v>
      </c>
      <c r="H92" s="145"/>
    </row>
    <row r="93" spans="1:8" ht="36">
      <c r="A93" s="48">
        <v>3</v>
      </c>
      <c r="B93" s="236" t="s">
        <v>586</v>
      </c>
      <c r="C93" s="161"/>
      <c r="D93" s="234"/>
      <c r="E93" s="234">
        <v>47120.4</v>
      </c>
      <c r="F93" s="411"/>
      <c r="G93" s="8">
        <f t="shared" si="10"/>
        <v>-47120.4</v>
      </c>
      <c r="H93" s="145">
        <f>(F93/E93)*100</f>
        <v>0</v>
      </c>
    </row>
    <row r="94" spans="1:8" ht="38.25" customHeight="1">
      <c r="A94" s="290">
        <v>4</v>
      </c>
      <c r="B94" s="291" t="s">
        <v>744</v>
      </c>
      <c r="C94" s="298"/>
      <c r="D94" s="234">
        <v>1975.4</v>
      </c>
      <c r="E94" s="234"/>
      <c r="F94" s="411"/>
      <c r="G94" s="8">
        <f t="shared" si="10"/>
        <v>0</v>
      </c>
      <c r="H94" s="145"/>
    </row>
    <row r="95" spans="1:8">
      <c r="A95" s="290">
        <v>5</v>
      </c>
      <c r="B95" s="292" t="s">
        <v>597</v>
      </c>
      <c r="C95" s="298"/>
      <c r="D95" s="234"/>
      <c r="E95" s="234">
        <v>500</v>
      </c>
      <c r="F95" s="411"/>
      <c r="G95" s="8">
        <f t="shared" si="10"/>
        <v>-500</v>
      </c>
      <c r="H95" s="145">
        <f>(F95/E95)*100</f>
        <v>0</v>
      </c>
    </row>
    <row r="96" spans="1:8">
      <c r="A96" s="290">
        <v>6</v>
      </c>
      <c r="B96" s="292" t="s">
        <v>600</v>
      </c>
      <c r="C96" s="298"/>
      <c r="D96" s="234"/>
      <c r="E96" s="234"/>
      <c r="F96" s="411">
        <v>32011.599999999999</v>
      </c>
      <c r="G96" s="8">
        <f t="shared" si="10"/>
        <v>32011.599999999999</v>
      </c>
      <c r="H96" s="145"/>
    </row>
    <row r="97" spans="1:8" hidden="1">
      <c r="A97" s="48">
        <v>13</v>
      </c>
      <c r="B97" s="236" t="s">
        <v>574</v>
      </c>
      <c r="C97" s="161"/>
      <c r="D97" s="234"/>
      <c r="E97" s="231"/>
      <c r="F97" s="419"/>
      <c r="G97" s="8">
        <f t="shared" si="10"/>
        <v>0</v>
      </c>
      <c r="H97" s="145"/>
    </row>
    <row r="98" spans="1:8" hidden="1">
      <c r="A98" s="48">
        <v>15</v>
      </c>
      <c r="B98" s="236" t="s">
        <v>576</v>
      </c>
      <c r="C98" s="161"/>
      <c r="D98" s="234"/>
      <c r="E98" s="231"/>
      <c r="F98" s="419"/>
      <c r="G98" s="8">
        <f t="shared" si="10"/>
        <v>0</v>
      </c>
      <c r="H98" s="145"/>
    </row>
    <row r="99" spans="1:8" hidden="1">
      <c r="A99" s="48">
        <v>16</v>
      </c>
      <c r="B99" s="236" t="s">
        <v>577</v>
      </c>
      <c r="C99" s="161"/>
      <c r="D99" s="234"/>
      <c r="E99" s="231"/>
      <c r="F99" s="419"/>
      <c r="G99" s="8">
        <f t="shared" si="10"/>
        <v>0</v>
      </c>
      <c r="H99" s="145"/>
    </row>
    <row r="100" spans="1:8" hidden="1">
      <c r="A100" s="48">
        <v>17</v>
      </c>
      <c r="B100" s="236" t="s">
        <v>578</v>
      </c>
      <c r="C100" s="161"/>
      <c r="D100" s="234"/>
      <c r="E100" s="231"/>
      <c r="F100" s="419"/>
      <c r="G100" s="8">
        <f t="shared" si="10"/>
        <v>0</v>
      </c>
      <c r="H100" s="145"/>
    </row>
    <row r="101" spans="1:8" hidden="1">
      <c r="A101" s="48">
        <v>18</v>
      </c>
      <c r="B101" s="236" t="s">
        <v>579</v>
      </c>
      <c r="C101" s="161"/>
      <c r="D101" s="234"/>
      <c r="E101" s="231"/>
      <c r="F101" s="419"/>
      <c r="G101" s="8">
        <f t="shared" si="10"/>
        <v>0</v>
      </c>
      <c r="H101" s="145"/>
    </row>
    <row r="102" spans="1:8" hidden="1">
      <c r="A102" s="48">
        <v>19</v>
      </c>
      <c r="B102" s="236" t="s">
        <v>580</v>
      </c>
      <c r="C102" s="161"/>
      <c r="D102" s="234"/>
      <c r="E102" s="231"/>
      <c r="F102" s="419"/>
      <c r="G102" s="8">
        <f t="shared" si="10"/>
        <v>0</v>
      </c>
      <c r="H102" s="145"/>
    </row>
    <row r="103" spans="1:8" hidden="1">
      <c r="A103" s="48">
        <v>20</v>
      </c>
      <c r="B103" s="236" t="s">
        <v>581</v>
      </c>
      <c r="C103" s="161"/>
      <c r="D103" s="234"/>
      <c r="E103" s="234"/>
      <c r="F103" s="411"/>
      <c r="G103" s="8">
        <f t="shared" si="10"/>
        <v>0</v>
      </c>
      <c r="H103" s="145"/>
    </row>
    <row r="104" spans="1:8" hidden="1">
      <c r="A104" s="48">
        <v>21</v>
      </c>
      <c r="B104" s="285" t="s">
        <v>582</v>
      </c>
      <c r="C104" s="161"/>
      <c r="D104" s="234"/>
      <c r="E104" s="234"/>
      <c r="F104" s="411"/>
      <c r="G104" s="8">
        <f t="shared" si="10"/>
        <v>0</v>
      </c>
      <c r="H104" s="145"/>
    </row>
    <row r="105" spans="1:8" hidden="1">
      <c r="A105" s="48">
        <v>22</v>
      </c>
      <c r="B105" s="236" t="s">
        <v>583</v>
      </c>
      <c r="C105" s="161"/>
      <c r="D105" s="234"/>
      <c r="E105" s="234"/>
      <c r="F105" s="411"/>
      <c r="G105" s="8">
        <f t="shared" si="10"/>
        <v>0</v>
      </c>
      <c r="H105" s="145"/>
    </row>
    <row r="106" spans="1:8" hidden="1">
      <c r="A106" s="48">
        <v>23</v>
      </c>
      <c r="B106" s="236" t="s">
        <v>754</v>
      </c>
      <c r="C106" s="161"/>
      <c r="D106" s="234"/>
      <c r="E106" s="234"/>
      <c r="F106" s="411"/>
      <c r="G106" s="8">
        <f t="shared" si="10"/>
        <v>0</v>
      </c>
      <c r="H106" s="145"/>
    </row>
    <row r="107" spans="1:8" hidden="1">
      <c r="A107" s="48">
        <v>24</v>
      </c>
      <c r="B107" s="236" t="s">
        <v>584</v>
      </c>
      <c r="C107" s="161"/>
      <c r="D107" s="234"/>
      <c r="E107" s="234"/>
      <c r="F107" s="411"/>
      <c r="G107" s="8">
        <f t="shared" si="10"/>
        <v>0</v>
      </c>
      <c r="H107" s="145"/>
    </row>
    <row r="108" spans="1:8" hidden="1">
      <c r="A108" s="48">
        <v>25</v>
      </c>
      <c r="B108" s="236" t="s">
        <v>585</v>
      </c>
      <c r="C108" s="161"/>
      <c r="D108" s="234"/>
      <c r="E108" s="234"/>
      <c r="F108" s="411"/>
      <c r="G108" s="8">
        <f t="shared" si="10"/>
        <v>0</v>
      </c>
      <c r="H108" s="145"/>
    </row>
    <row r="109" spans="1:8" hidden="1">
      <c r="A109" s="48">
        <v>27</v>
      </c>
      <c r="B109" s="236" t="s">
        <v>587</v>
      </c>
      <c r="C109" s="161"/>
      <c r="D109" s="234"/>
      <c r="E109" s="234"/>
      <c r="F109" s="411"/>
      <c r="G109" s="8">
        <f t="shared" si="10"/>
        <v>0</v>
      </c>
      <c r="H109" s="145"/>
    </row>
    <row r="110" spans="1:8" ht="20.399999999999999" customHeight="1">
      <c r="A110" s="403">
        <v>28</v>
      </c>
      <c r="B110" s="236" t="s">
        <v>588</v>
      </c>
      <c r="C110" s="161"/>
      <c r="D110" s="234"/>
      <c r="E110" s="234"/>
      <c r="F110" s="411">
        <v>22</v>
      </c>
      <c r="G110" s="8">
        <f t="shared" si="10"/>
        <v>22</v>
      </c>
      <c r="H110" s="145"/>
    </row>
    <row r="111" spans="1:8" hidden="1">
      <c r="A111" s="403">
        <v>29</v>
      </c>
      <c r="B111" s="236" t="s">
        <v>755</v>
      </c>
      <c r="C111" s="161"/>
      <c r="D111" s="234"/>
      <c r="E111" s="234"/>
      <c r="F111" s="411"/>
      <c r="G111" s="8">
        <f t="shared" si="10"/>
        <v>0</v>
      </c>
      <c r="H111" s="145"/>
    </row>
    <row r="112" spans="1:8" hidden="1">
      <c r="A112" s="403">
        <v>30</v>
      </c>
      <c r="B112" s="236" t="s">
        <v>590</v>
      </c>
      <c r="C112" s="161"/>
      <c r="D112" s="234"/>
      <c r="E112" s="234"/>
      <c r="F112" s="411"/>
      <c r="G112" s="8">
        <f t="shared" si="10"/>
        <v>0</v>
      </c>
      <c r="H112" s="145"/>
    </row>
    <row r="113" spans="1:8" hidden="1">
      <c r="A113" s="290">
        <v>32</v>
      </c>
      <c r="B113" s="292" t="s">
        <v>756</v>
      </c>
      <c r="C113" s="298"/>
      <c r="D113" s="234"/>
      <c r="E113" s="234"/>
      <c r="F113" s="411"/>
      <c r="G113" s="8">
        <f t="shared" si="10"/>
        <v>0</v>
      </c>
      <c r="H113" s="145"/>
    </row>
    <row r="114" spans="1:8" hidden="1">
      <c r="A114" s="290">
        <v>33</v>
      </c>
      <c r="B114" s="292" t="s">
        <v>593</v>
      </c>
      <c r="C114" s="298"/>
      <c r="D114" s="234"/>
      <c r="E114" s="234"/>
      <c r="F114" s="411"/>
      <c r="G114" s="8">
        <f t="shared" si="10"/>
        <v>0</v>
      </c>
      <c r="H114" s="145"/>
    </row>
    <row r="115" spans="1:8" hidden="1">
      <c r="A115" s="290">
        <v>34</v>
      </c>
      <c r="B115" s="292" t="s">
        <v>594</v>
      </c>
      <c r="C115" s="298"/>
      <c r="D115" s="234"/>
      <c r="E115" s="234"/>
      <c r="F115" s="411"/>
      <c r="G115" s="8">
        <f t="shared" si="10"/>
        <v>0</v>
      </c>
      <c r="H115" s="145"/>
    </row>
    <row r="116" spans="1:8" hidden="1">
      <c r="A116" s="290">
        <v>35</v>
      </c>
      <c r="B116" s="292" t="s">
        <v>595</v>
      </c>
      <c r="C116" s="298"/>
      <c r="D116" s="234"/>
      <c r="E116" s="234"/>
      <c r="F116" s="411"/>
      <c r="G116" s="8">
        <f t="shared" si="10"/>
        <v>0</v>
      </c>
      <c r="H116" s="145"/>
    </row>
    <row r="117" spans="1:8">
      <c r="A117" s="290">
        <v>36</v>
      </c>
      <c r="B117" s="292" t="s">
        <v>829</v>
      </c>
      <c r="C117" s="298"/>
      <c r="D117" s="234"/>
      <c r="E117" s="234"/>
      <c r="F117" s="411">
        <v>127.2</v>
      </c>
      <c r="G117" s="8">
        <f t="shared" si="10"/>
        <v>127.2</v>
      </c>
      <c r="H117" s="145"/>
    </row>
    <row r="118" spans="1:8" hidden="1">
      <c r="A118" s="290">
        <v>37</v>
      </c>
      <c r="B118" s="292" t="s">
        <v>596</v>
      </c>
      <c r="C118" s="298"/>
      <c r="D118" s="234"/>
      <c r="E118" s="234"/>
      <c r="F118" s="411"/>
      <c r="G118" s="8">
        <f t="shared" si="10"/>
        <v>0</v>
      </c>
      <c r="H118" s="145"/>
    </row>
    <row r="119" spans="1:8" hidden="1">
      <c r="A119" s="290">
        <v>38</v>
      </c>
      <c r="B119" s="292" t="s">
        <v>757</v>
      </c>
      <c r="C119" s="298"/>
      <c r="D119" s="234"/>
      <c r="E119" s="234"/>
      <c r="F119" s="411"/>
      <c r="G119" s="8">
        <f t="shared" si="10"/>
        <v>0</v>
      </c>
      <c r="H119" s="145"/>
    </row>
    <row r="120" spans="1:8" ht="36" hidden="1">
      <c r="A120" s="290">
        <v>39</v>
      </c>
      <c r="B120" s="292" t="s">
        <v>758</v>
      </c>
      <c r="C120" s="298"/>
      <c r="D120" s="234"/>
      <c r="E120" s="234"/>
      <c r="F120" s="411"/>
      <c r="G120" s="8">
        <f t="shared" si="10"/>
        <v>0</v>
      </c>
      <c r="H120" s="145"/>
    </row>
    <row r="121" spans="1:8" hidden="1">
      <c r="A121" s="290">
        <v>41</v>
      </c>
      <c r="B121" s="292" t="s">
        <v>598</v>
      </c>
      <c r="C121" s="298"/>
      <c r="D121" s="234"/>
      <c r="E121" s="234"/>
      <c r="F121" s="411"/>
      <c r="G121" s="8">
        <f t="shared" si="10"/>
        <v>0</v>
      </c>
      <c r="H121" s="145"/>
    </row>
    <row r="122" spans="1:8" hidden="1">
      <c r="A122" s="290">
        <v>42</v>
      </c>
      <c r="B122" s="292" t="s">
        <v>599</v>
      </c>
      <c r="C122" s="298"/>
      <c r="D122" s="234"/>
      <c r="E122" s="234"/>
      <c r="F122" s="411"/>
      <c r="G122" s="8">
        <f t="shared" si="10"/>
        <v>0</v>
      </c>
      <c r="H122" s="145"/>
    </row>
    <row r="123" spans="1:8" hidden="1">
      <c r="A123" s="290">
        <v>44</v>
      </c>
      <c r="B123" s="292" t="s">
        <v>759</v>
      </c>
      <c r="C123" s="298"/>
      <c r="D123" s="234"/>
      <c r="E123" s="234"/>
      <c r="F123" s="411"/>
      <c r="G123" s="8">
        <f t="shared" si="10"/>
        <v>0</v>
      </c>
      <c r="H123" s="145"/>
    </row>
    <row r="124" spans="1:8" ht="18" customHeight="1">
      <c r="A124" s="504" t="s">
        <v>398</v>
      </c>
      <c r="B124" s="504"/>
      <c r="C124" s="299">
        <v>3274</v>
      </c>
      <c r="D124" s="373">
        <f>D125</f>
        <v>16</v>
      </c>
      <c r="E124" s="373">
        <f t="shared" ref="E124:F124" si="11">E125</f>
        <v>0</v>
      </c>
      <c r="F124" s="423">
        <f t="shared" si="11"/>
        <v>4</v>
      </c>
      <c r="G124" s="10">
        <f t="shared" si="7"/>
        <v>4</v>
      </c>
      <c r="H124" s="166"/>
    </row>
    <row r="125" spans="1:8">
      <c r="A125" s="293" t="s">
        <v>760</v>
      </c>
      <c r="B125" s="292" t="s">
        <v>603</v>
      </c>
      <c r="C125" s="298"/>
      <c r="D125" s="234">
        <v>16</v>
      </c>
      <c r="E125" s="234"/>
      <c r="F125" s="411">
        <v>4</v>
      </c>
      <c r="G125" s="8">
        <f t="shared" si="7"/>
        <v>4</v>
      </c>
      <c r="H125" s="145"/>
    </row>
    <row r="126" spans="1:8" ht="18" customHeight="1">
      <c r="A126" s="504" t="s">
        <v>761</v>
      </c>
      <c r="B126" s="504"/>
      <c r="C126" s="299">
        <v>3275</v>
      </c>
      <c r="D126" s="373">
        <f>SUM(D127:D133)</f>
        <v>20908.2</v>
      </c>
      <c r="E126" s="373">
        <f t="shared" ref="E126:F126" si="12">SUM(E127:E133)</f>
        <v>27373.4</v>
      </c>
      <c r="F126" s="423">
        <f t="shared" si="12"/>
        <v>32981.5</v>
      </c>
      <c r="G126" s="10">
        <f t="shared" si="7"/>
        <v>5608.0999999999985</v>
      </c>
      <c r="H126" s="166">
        <f t="shared" si="9"/>
        <v>120.48740748317709</v>
      </c>
    </row>
    <row r="127" spans="1:8" hidden="1">
      <c r="A127" s="293" t="s">
        <v>760</v>
      </c>
      <c r="B127" s="294" t="s">
        <v>762</v>
      </c>
      <c r="C127" s="300"/>
      <c r="D127" s="234"/>
      <c r="E127" s="234"/>
      <c r="F127" s="411"/>
      <c r="G127" s="8">
        <f t="shared" ref="G127:G133" si="13">F127-E127</f>
        <v>0</v>
      </c>
      <c r="H127" s="145"/>
    </row>
    <row r="128" spans="1:8">
      <c r="A128" s="293" t="s">
        <v>760</v>
      </c>
      <c r="B128" s="292" t="s">
        <v>652</v>
      </c>
      <c r="C128" s="300"/>
      <c r="D128" s="234">
        <v>15654.7</v>
      </c>
      <c r="E128" s="234"/>
      <c r="F128" s="411"/>
      <c r="G128" s="8">
        <f t="shared" si="13"/>
        <v>0</v>
      </c>
      <c r="H128" s="145"/>
    </row>
    <row r="129" spans="1:8" ht="36">
      <c r="A129" s="293" t="s">
        <v>763</v>
      </c>
      <c r="B129" s="292" t="s">
        <v>765</v>
      </c>
      <c r="C129" s="300"/>
      <c r="D129" s="234"/>
      <c r="E129" s="234">
        <v>27373.4</v>
      </c>
      <c r="F129" s="411">
        <v>32928.400000000001</v>
      </c>
      <c r="G129" s="8">
        <f t="shared" si="13"/>
        <v>5555</v>
      </c>
      <c r="H129" s="145">
        <f>(F129/E129)*100</f>
        <v>120.29342354256323</v>
      </c>
    </row>
    <row r="130" spans="1:8" ht="72">
      <c r="A130" s="293" t="s">
        <v>764</v>
      </c>
      <c r="B130" s="292" t="s">
        <v>650</v>
      </c>
      <c r="C130" s="300"/>
      <c r="D130" s="234">
        <v>5253.5</v>
      </c>
      <c r="E130" s="234"/>
      <c r="F130" s="411"/>
      <c r="G130" s="8">
        <f t="shared" si="13"/>
        <v>0</v>
      </c>
      <c r="H130" s="145"/>
    </row>
    <row r="131" spans="1:8">
      <c r="A131" s="293" t="s">
        <v>767</v>
      </c>
      <c r="B131" s="404" t="s">
        <v>830</v>
      </c>
      <c r="C131" s="300"/>
      <c r="D131" s="234"/>
      <c r="E131" s="234"/>
      <c r="F131" s="411">
        <v>53.1</v>
      </c>
      <c r="G131" s="8">
        <f t="shared" si="13"/>
        <v>53.1</v>
      </c>
      <c r="H131" s="145"/>
    </row>
    <row r="132" spans="1:8" hidden="1">
      <c r="A132" s="293" t="s">
        <v>768</v>
      </c>
      <c r="B132" s="295" t="s">
        <v>769</v>
      </c>
      <c r="C132" s="301"/>
      <c r="D132" s="234"/>
      <c r="E132" s="234"/>
      <c r="F132" s="411"/>
      <c r="G132" s="8">
        <f t="shared" si="13"/>
        <v>0</v>
      </c>
      <c r="H132" s="145"/>
    </row>
    <row r="133" spans="1:8" hidden="1">
      <c r="A133" s="293" t="s">
        <v>770</v>
      </c>
      <c r="B133" s="295" t="s">
        <v>771</v>
      </c>
      <c r="C133" s="299"/>
      <c r="D133" s="234"/>
      <c r="E133" s="234"/>
      <c r="F133" s="411"/>
      <c r="G133" s="8">
        <f t="shared" si="13"/>
        <v>0</v>
      </c>
      <c r="H133" s="145"/>
    </row>
    <row r="134" spans="1:8" ht="18" customHeight="1">
      <c r="A134" s="504" t="s">
        <v>772</v>
      </c>
      <c r="B134" s="504"/>
      <c r="C134" s="299">
        <v>3276</v>
      </c>
      <c r="D134" s="373">
        <f>SUM(D135:D144)</f>
        <v>0</v>
      </c>
      <c r="E134" s="373">
        <f t="shared" ref="E134:F134" si="14">SUM(E135:E144)</f>
        <v>12788.800000000001</v>
      </c>
      <c r="F134" s="423">
        <f t="shared" si="14"/>
        <v>0</v>
      </c>
      <c r="G134" s="10">
        <f t="shared" si="7"/>
        <v>-12788.800000000001</v>
      </c>
      <c r="H134" s="166">
        <f t="shared" si="9"/>
        <v>0</v>
      </c>
    </row>
    <row r="135" spans="1:8" hidden="1">
      <c r="A135" s="296" t="s">
        <v>760</v>
      </c>
      <c r="B135" s="292" t="s">
        <v>606</v>
      </c>
      <c r="C135" s="298"/>
      <c r="D135" s="234"/>
      <c r="E135" s="234"/>
      <c r="F135" s="411"/>
      <c r="G135" s="8">
        <f t="shared" si="7"/>
        <v>0</v>
      </c>
      <c r="H135" s="145"/>
    </row>
    <row r="136" spans="1:8" ht="54">
      <c r="A136" s="296" t="s">
        <v>760</v>
      </c>
      <c r="B136" s="292" t="s">
        <v>607</v>
      </c>
      <c r="C136" s="298"/>
      <c r="D136" s="234"/>
      <c r="E136" s="234">
        <v>644.4</v>
      </c>
      <c r="F136" s="411"/>
      <c r="G136" s="8">
        <f t="shared" si="7"/>
        <v>-644.4</v>
      </c>
      <c r="H136" s="145">
        <f t="shared" si="9"/>
        <v>0</v>
      </c>
    </row>
    <row r="137" spans="1:8" ht="54">
      <c r="A137" s="296" t="s">
        <v>763</v>
      </c>
      <c r="B137" s="292" t="s">
        <v>608</v>
      </c>
      <c r="C137" s="298"/>
      <c r="D137" s="234"/>
      <c r="E137" s="234">
        <v>321.7</v>
      </c>
      <c r="F137" s="411"/>
      <c r="G137" s="8">
        <f t="shared" si="7"/>
        <v>-321.7</v>
      </c>
      <c r="H137" s="145">
        <f t="shared" si="9"/>
        <v>0</v>
      </c>
    </row>
    <row r="138" spans="1:8" ht="36">
      <c r="A138" s="296" t="s">
        <v>764</v>
      </c>
      <c r="B138" s="292" t="s">
        <v>609</v>
      </c>
      <c r="C138" s="298"/>
      <c r="D138" s="234"/>
      <c r="E138" s="234">
        <v>400.2</v>
      </c>
      <c r="F138" s="411"/>
      <c r="G138" s="8">
        <f t="shared" si="7"/>
        <v>-400.2</v>
      </c>
      <c r="H138" s="145">
        <f t="shared" si="9"/>
        <v>0</v>
      </c>
    </row>
    <row r="139" spans="1:8" ht="54">
      <c r="A139" s="296" t="s">
        <v>766</v>
      </c>
      <c r="B139" s="292" t="s">
        <v>610</v>
      </c>
      <c r="C139" s="298"/>
      <c r="D139" s="234"/>
      <c r="E139" s="234">
        <v>1234.9000000000001</v>
      </c>
      <c r="F139" s="411"/>
      <c r="G139" s="8">
        <f t="shared" ref="G139:G156" si="15">F139-E139</f>
        <v>-1234.9000000000001</v>
      </c>
      <c r="H139" s="145">
        <f t="shared" ref="H139:H156" si="16">(F139/E139)*100</f>
        <v>0</v>
      </c>
    </row>
    <row r="140" spans="1:8">
      <c r="A140" s="296" t="s">
        <v>767</v>
      </c>
      <c r="B140" s="292" t="s">
        <v>612</v>
      </c>
      <c r="C140" s="298"/>
      <c r="D140" s="234"/>
      <c r="E140" s="234">
        <v>3000</v>
      </c>
      <c r="F140" s="411"/>
      <c r="G140" s="8">
        <f t="shared" si="15"/>
        <v>-3000</v>
      </c>
      <c r="H140" s="145">
        <f t="shared" si="16"/>
        <v>0</v>
      </c>
    </row>
    <row r="141" spans="1:8" hidden="1">
      <c r="A141" s="296" t="s">
        <v>770</v>
      </c>
      <c r="B141" s="292" t="s">
        <v>773</v>
      </c>
      <c r="C141" s="298"/>
      <c r="D141" s="234"/>
      <c r="E141" s="234"/>
      <c r="F141" s="411"/>
      <c r="G141" s="8">
        <f t="shared" si="15"/>
        <v>0</v>
      </c>
      <c r="H141" s="145"/>
    </row>
    <row r="142" spans="1:8" ht="36" hidden="1">
      <c r="A142" s="296" t="s">
        <v>774</v>
      </c>
      <c r="B142" s="292" t="s">
        <v>613</v>
      </c>
      <c r="C142" s="298"/>
      <c r="D142" s="234"/>
      <c r="E142" s="234"/>
      <c r="F142" s="411"/>
      <c r="G142" s="8">
        <f t="shared" si="15"/>
        <v>0</v>
      </c>
      <c r="H142" s="145"/>
    </row>
    <row r="143" spans="1:8" ht="45.75" customHeight="1">
      <c r="A143" s="297" t="s">
        <v>768</v>
      </c>
      <c r="B143" s="236" t="s">
        <v>775</v>
      </c>
      <c r="C143" s="161"/>
      <c r="D143" s="234"/>
      <c r="E143" s="234">
        <v>6055</v>
      </c>
      <c r="F143" s="411"/>
      <c r="G143" s="8">
        <f t="shared" si="15"/>
        <v>-6055</v>
      </c>
      <c r="H143" s="145">
        <f t="shared" si="16"/>
        <v>0</v>
      </c>
    </row>
    <row r="144" spans="1:8" ht="45.75" customHeight="1">
      <c r="A144" s="297" t="s">
        <v>770</v>
      </c>
      <c r="B144" s="236" t="s">
        <v>615</v>
      </c>
      <c r="C144" s="161"/>
      <c r="D144" s="234"/>
      <c r="E144" s="234">
        <v>1132.5999999999999</v>
      </c>
      <c r="F144" s="411"/>
      <c r="G144" s="8">
        <f t="shared" si="15"/>
        <v>-1132.5999999999999</v>
      </c>
      <c r="H144" s="145">
        <f t="shared" si="16"/>
        <v>0</v>
      </c>
    </row>
    <row r="145" spans="1:11" ht="18" customHeight="1">
      <c r="A145" s="509" t="s">
        <v>235</v>
      </c>
      <c r="B145" s="509"/>
      <c r="C145" s="160">
        <v>3300</v>
      </c>
      <c r="D145" s="373">
        <v>0</v>
      </c>
      <c r="E145" s="373"/>
      <c r="F145" s="423"/>
      <c r="G145" s="10">
        <f t="shared" si="15"/>
        <v>0</v>
      </c>
      <c r="H145" s="166"/>
    </row>
    <row r="146" spans="1:11" ht="18" customHeight="1">
      <c r="A146" s="500" t="s">
        <v>211</v>
      </c>
      <c r="B146" s="500"/>
      <c r="C146" s="161"/>
      <c r="D146" s="234"/>
      <c r="E146" s="234"/>
      <c r="F146" s="411"/>
      <c r="G146" s="8">
        <f t="shared" si="15"/>
        <v>0</v>
      </c>
      <c r="H146" s="145"/>
    </row>
    <row r="147" spans="1:11" ht="18" customHeight="1">
      <c r="A147" s="501" t="s">
        <v>395</v>
      </c>
      <c r="B147" s="501"/>
      <c r="C147" s="160">
        <v>3330</v>
      </c>
      <c r="D147" s="373">
        <f>D148</f>
        <v>45.8</v>
      </c>
      <c r="E147" s="373">
        <f t="shared" ref="E147:F147" si="17">E148</f>
        <v>150</v>
      </c>
      <c r="F147" s="423">
        <f t="shared" si="17"/>
        <v>149</v>
      </c>
      <c r="G147" s="10">
        <f t="shared" si="15"/>
        <v>-1</v>
      </c>
      <c r="H147" s="166">
        <f t="shared" si="16"/>
        <v>99.333333333333329</v>
      </c>
    </row>
    <row r="148" spans="1:11">
      <c r="A148" s="48">
        <v>1</v>
      </c>
      <c r="B148" s="236" t="s">
        <v>776</v>
      </c>
      <c r="C148" s="161"/>
      <c r="D148" s="234">
        <v>45.8</v>
      </c>
      <c r="E148" s="234">
        <v>150</v>
      </c>
      <c r="F148" s="411">
        <v>149</v>
      </c>
      <c r="G148" s="8">
        <f t="shared" si="15"/>
        <v>-1</v>
      </c>
      <c r="H148" s="145">
        <f t="shared" si="16"/>
        <v>99.333333333333329</v>
      </c>
    </row>
    <row r="149" spans="1:11" ht="18" customHeight="1">
      <c r="A149" s="510" t="s">
        <v>219</v>
      </c>
      <c r="B149" s="511"/>
      <c r="C149" s="161"/>
      <c r="D149" s="234"/>
      <c r="E149" s="234"/>
      <c r="F149" s="411"/>
      <c r="G149" s="8">
        <f t="shared" si="15"/>
        <v>0</v>
      </c>
      <c r="H149" s="145"/>
    </row>
    <row r="150" spans="1:11" ht="18" customHeight="1">
      <c r="A150" s="512" t="s">
        <v>206</v>
      </c>
      <c r="B150" s="513"/>
      <c r="C150" s="160">
        <v>3390</v>
      </c>
      <c r="D150" s="373">
        <f>SUM(D151:D156)</f>
        <v>1287</v>
      </c>
      <c r="E150" s="373">
        <f>E151+E154</f>
        <v>3398.9</v>
      </c>
      <c r="F150" s="423">
        <f>F151+F154</f>
        <v>3988</v>
      </c>
      <c r="G150" s="10">
        <f t="shared" si="15"/>
        <v>589.09999999999991</v>
      </c>
      <c r="H150" s="166">
        <f t="shared" si="16"/>
        <v>117.33207802524346</v>
      </c>
    </row>
    <row r="151" spans="1:11">
      <c r="A151" s="48">
        <v>1</v>
      </c>
      <c r="B151" s="236" t="s">
        <v>509</v>
      </c>
      <c r="C151" s="161"/>
      <c r="D151" s="234">
        <v>676.9</v>
      </c>
      <c r="E151" s="234">
        <v>1722.5</v>
      </c>
      <c r="F151" s="411">
        <f>F152+F153</f>
        <v>2312.4</v>
      </c>
      <c r="G151" s="8">
        <f t="shared" si="15"/>
        <v>589.90000000000009</v>
      </c>
      <c r="H151" s="145">
        <f t="shared" si="16"/>
        <v>134.24673439767781</v>
      </c>
    </row>
    <row r="152" spans="1:11">
      <c r="A152" s="48" t="s">
        <v>423</v>
      </c>
      <c r="B152" s="236" t="s">
        <v>510</v>
      </c>
      <c r="C152" s="161"/>
      <c r="D152" s="234"/>
      <c r="E152" s="234">
        <f>'Розшифровка фінрезультати'!D64</f>
        <v>108.9</v>
      </c>
      <c r="F152" s="411">
        <v>698.9</v>
      </c>
      <c r="G152" s="8">
        <f t="shared" si="15"/>
        <v>590</v>
      </c>
      <c r="H152" s="145">
        <f t="shared" si="16"/>
        <v>641.78145087235987</v>
      </c>
    </row>
    <row r="153" spans="1:11">
      <c r="A153" s="48" t="s">
        <v>423</v>
      </c>
      <c r="B153" s="236" t="s">
        <v>511</v>
      </c>
      <c r="C153" s="161"/>
      <c r="D153" s="234"/>
      <c r="E153" s="234">
        <f>'Розшифровка фінрезультати'!D65</f>
        <v>1613.6</v>
      </c>
      <c r="F153" s="411">
        <v>1613.5</v>
      </c>
      <c r="G153" s="8">
        <f t="shared" si="15"/>
        <v>-9.9999999999909051E-2</v>
      </c>
      <c r="H153" s="145">
        <f t="shared" si="16"/>
        <v>99.993802677243437</v>
      </c>
    </row>
    <row r="154" spans="1:11">
      <c r="A154" s="48">
        <v>2</v>
      </c>
      <c r="B154" s="236" t="s">
        <v>512</v>
      </c>
      <c r="C154" s="161"/>
      <c r="D154" s="234">
        <v>610.1</v>
      </c>
      <c r="E154" s="234">
        <v>1676.4</v>
      </c>
      <c r="F154" s="411">
        <f>F155+F156</f>
        <v>1675.6</v>
      </c>
      <c r="G154" s="8">
        <f t="shared" si="15"/>
        <v>-0.8000000000001819</v>
      </c>
      <c r="H154" s="145">
        <f t="shared" si="16"/>
        <v>99.952278692436153</v>
      </c>
    </row>
    <row r="155" spans="1:11">
      <c r="A155" s="48" t="s">
        <v>423</v>
      </c>
      <c r="B155" s="236" t="s">
        <v>513</v>
      </c>
      <c r="C155" s="161"/>
      <c r="D155" s="234"/>
      <c r="E155" s="234">
        <f>'Розшифровка фінрезультати'!D67</f>
        <v>390.5</v>
      </c>
      <c r="F155" s="411">
        <v>390.1</v>
      </c>
      <c r="G155" s="8">
        <f t="shared" si="15"/>
        <v>-0.39999999999997726</v>
      </c>
      <c r="H155" s="145">
        <f t="shared" si="16"/>
        <v>99.897567221510883</v>
      </c>
    </row>
    <row r="156" spans="1:11">
      <c r="A156" s="48" t="s">
        <v>423</v>
      </c>
      <c r="B156" s="236" t="s">
        <v>777</v>
      </c>
      <c r="C156" s="161"/>
      <c r="D156" s="234"/>
      <c r="E156" s="234">
        <f>'Розшифровка фінрезультати'!D68</f>
        <v>1285.9000000000001</v>
      </c>
      <c r="F156" s="411">
        <v>1285.5</v>
      </c>
      <c r="G156" s="8">
        <f t="shared" si="15"/>
        <v>-0.40000000000009095</v>
      </c>
      <c r="H156" s="145">
        <f t="shared" si="16"/>
        <v>99.968893382067023</v>
      </c>
    </row>
    <row r="157" spans="1:11">
      <c r="B157" s="181"/>
    </row>
    <row r="158" spans="1:11">
      <c r="B158" s="181"/>
    </row>
    <row r="159" spans="1:11" ht="26.25" customHeight="1">
      <c r="A159" s="505" t="s">
        <v>663</v>
      </c>
      <c r="B159" s="505"/>
      <c r="C159" s="506" t="s">
        <v>79</v>
      </c>
      <c r="D159" s="506"/>
      <c r="E159" s="506"/>
      <c r="F159" s="424"/>
      <c r="G159" s="379" t="s">
        <v>664</v>
      </c>
      <c r="H159" s="379"/>
      <c r="I159" s="379"/>
      <c r="K159" s="332"/>
    </row>
    <row r="160" spans="1:11" hidden="1">
      <c r="A160" s="171"/>
      <c r="B160" s="302" t="s">
        <v>360</v>
      </c>
      <c r="C160" s="170"/>
      <c r="D160" s="507" t="s">
        <v>556</v>
      </c>
      <c r="E160" s="507"/>
      <c r="F160" s="425"/>
      <c r="G160" s="303"/>
      <c r="H160" s="508"/>
      <c r="I160" s="508"/>
      <c r="J160" s="508"/>
      <c r="K160" s="332"/>
    </row>
    <row r="161" spans="2:2">
      <c r="B161" s="181"/>
    </row>
    <row r="162" spans="2:2">
      <c r="B162" s="181"/>
    </row>
    <row r="163" spans="2:2">
      <c r="B163" s="181"/>
    </row>
    <row r="164" spans="2:2">
      <c r="B164" s="181"/>
    </row>
    <row r="165" spans="2:2">
      <c r="B165" s="181"/>
    </row>
    <row r="166" spans="2:2">
      <c r="B166" s="181"/>
    </row>
    <row r="167" spans="2:2">
      <c r="B167" s="181"/>
    </row>
    <row r="168" spans="2:2">
      <c r="B168" s="181"/>
    </row>
    <row r="169" spans="2:2">
      <c r="B169" s="181"/>
    </row>
    <row r="170" spans="2:2">
      <c r="B170" s="181"/>
    </row>
    <row r="171" spans="2:2">
      <c r="B171" s="181"/>
    </row>
    <row r="172" spans="2:2">
      <c r="B172" s="181"/>
    </row>
    <row r="173" spans="2:2">
      <c r="B173" s="181"/>
    </row>
    <row r="174" spans="2:2">
      <c r="B174" s="181"/>
    </row>
    <row r="175" spans="2:2">
      <c r="B175" s="181"/>
    </row>
    <row r="176" spans="2:2">
      <c r="B176" s="181"/>
    </row>
    <row r="177" spans="2:2">
      <c r="B177" s="181"/>
    </row>
    <row r="178" spans="2:2">
      <c r="B178" s="181"/>
    </row>
    <row r="179" spans="2:2">
      <c r="B179" s="181"/>
    </row>
    <row r="180" spans="2:2">
      <c r="B180" s="181"/>
    </row>
    <row r="181" spans="2:2">
      <c r="B181" s="181"/>
    </row>
    <row r="182" spans="2:2">
      <c r="B182" s="181"/>
    </row>
    <row r="183" spans="2:2">
      <c r="B183" s="181"/>
    </row>
    <row r="184" spans="2:2">
      <c r="B184" s="181"/>
    </row>
    <row r="185" spans="2:2">
      <c r="B185" s="181"/>
    </row>
    <row r="186" spans="2:2">
      <c r="B186" s="181"/>
    </row>
    <row r="187" spans="2:2">
      <c r="B187" s="181"/>
    </row>
    <row r="188" spans="2:2">
      <c r="B188" s="181"/>
    </row>
    <row r="189" spans="2:2">
      <c r="B189" s="181"/>
    </row>
    <row r="190" spans="2:2">
      <c r="B190" s="181"/>
    </row>
    <row r="191" spans="2:2">
      <c r="B191" s="181"/>
    </row>
    <row r="192" spans="2:2">
      <c r="B192" s="181"/>
    </row>
    <row r="193" spans="2:2">
      <c r="B193" s="181"/>
    </row>
    <row r="194" spans="2:2">
      <c r="B194" s="181"/>
    </row>
    <row r="195" spans="2:2">
      <c r="B195" s="181"/>
    </row>
    <row r="196" spans="2:2">
      <c r="B196" s="181"/>
    </row>
    <row r="197" spans="2:2">
      <c r="B197" s="181"/>
    </row>
    <row r="198" spans="2:2">
      <c r="B198" s="181"/>
    </row>
    <row r="199" spans="2:2">
      <c r="B199" s="181"/>
    </row>
    <row r="200" spans="2:2">
      <c r="B200" s="181"/>
    </row>
    <row r="201" spans="2:2">
      <c r="B201" s="181"/>
    </row>
    <row r="202" spans="2:2">
      <c r="B202" s="181"/>
    </row>
    <row r="203" spans="2:2">
      <c r="B203" s="181"/>
    </row>
    <row r="204" spans="2:2">
      <c r="B204" s="181"/>
    </row>
    <row r="205" spans="2:2">
      <c r="B205" s="181"/>
    </row>
    <row r="206" spans="2:2">
      <c r="B206" s="181"/>
    </row>
    <row r="207" spans="2:2">
      <c r="B207" s="181"/>
    </row>
    <row r="208" spans="2:2">
      <c r="B208" s="181"/>
    </row>
    <row r="209" spans="2:2">
      <c r="B209" s="181"/>
    </row>
    <row r="210" spans="2:2">
      <c r="B210" s="181"/>
    </row>
    <row r="211" spans="2:2">
      <c r="B211" s="181"/>
    </row>
    <row r="212" spans="2:2">
      <c r="B212" s="181"/>
    </row>
    <row r="213" spans="2:2">
      <c r="B213" s="181"/>
    </row>
    <row r="214" spans="2:2">
      <c r="B214" s="181"/>
    </row>
    <row r="215" spans="2:2">
      <c r="B215" s="181"/>
    </row>
    <row r="216" spans="2:2">
      <c r="B216" s="181"/>
    </row>
    <row r="217" spans="2:2">
      <c r="B217" s="181"/>
    </row>
    <row r="218" spans="2:2">
      <c r="B218" s="181"/>
    </row>
    <row r="219" spans="2:2">
      <c r="B219" s="181"/>
    </row>
    <row r="220" spans="2:2">
      <c r="B220" s="181"/>
    </row>
    <row r="221" spans="2:2">
      <c r="B221" s="181"/>
    </row>
    <row r="222" spans="2:2">
      <c r="B222" s="181"/>
    </row>
    <row r="223" spans="2:2">
      <c r="B223" s="181"/>
    </row>
    <row r="224" spans="2:2">
      <c r="B224" s="181"/>
    </row>
    <row r="225" spans="2:2">
      <c r="B225" s="181"/>
    </row>
    <row r="226" spans="2:2">
      <c r="B226" s="181"/>
    </row>
    <row r="227" spans="2:2">
      <c r="B227" s="181"/>
    </row>
    <row r="228" spans="2:2">
      <c r="B228" s="181"/>
    </row>
    <row r="229" spans="2:2">
      <c r="B229" s="181"/>
    </row>
    <row r="230" spans="2:2">
      <c r="B230" s="181"/>
    </row>
    <row r="231" spans="2:2">
      <c r="B231" s="181"/>
    </row>
    <row r="232" spans="2:2">
      <c r="B232" s="181"/>
    </row>
    <row r="233" spans="2:2">
      <c r="B233" s="181"/>
    </row>
    <row r="234" spans="2:2">
      <c r="B234" s="181"/>
    </row>
    <row r="235" spans="2:2">
      <c r="B235" s="181"/>
    </row>
    <row r="236" spans="2:2">
      <c r="B236" s="181"/>
    </row>
    <row r="237" spans="2:2">
      <c r="B237" s="181"/>
    </row>
    <row r="238" spans="2:2">
      <c r="B238" s="181"/>
    </row>
    <row r="239" spans="2:2">
      <c r="B239" s="181"/>
    </row>
    <row r="240" spans="2:2">
      <c r="B240" s="181"/>
    </row>
    <row r="241" spans="2:2">
      <c r="B241" s="181"/>
    </row>
    <row r="242" spans="2:2">
      <c r="B242" s="181"/>
    </row>
    <row r="243" spans="2:2">
      <c r="B243" s="181"/>
    </row>
    <row r="244" spans="2:2">
      <c r="B244" s="181"/>
    </row>
    <row r="245" spans="2:2">
      <c r="B245" s="181"/>
    </row>
    <row r="246" spans="2:2">
      <c r="B246" s="181"/>
    </row>
    <row r="247" spans="2:2">
      <c r="B247" s="181"/>
    </row>
    <row r="248" spans="2:2">
      <c r="B248" s="181"/>
    </row>
    <row r="249" spans="2:2">
      <c r="B249" s="181"/>
    </row>
    <row r="250" spans="2:2">
      <c r="B250" s="181"/>
    </row>
    <row r="251" spans="2:2">
      <c r="B251" s="181"/>
    </row>
    <row r="252" spans="2:2">
      <c r="B252" s="181"/>
    </row>
    <row r="253" spans="2:2">
      <c r="B253" s="181"/>
    </row>
    <row r="254" spans="2:2">
      <c r="B254" s="181"/>
    </row>
    <row r="255" spans="2:2">
      <c r="B255" s="181"/>
    </row>
    <row r="256" spans="2:2">
      <c r="B256" s="181"/>
    </row>
    <row r="257" spans="2:2">
      <c r="B257" s="181"/>
    </row>
    <row r="258" spans="2:2">
      <c r="B258" s="181"/>
    </row>
    <row r="259" spans="2:2">
      <c r="B259" s="181"/>
    </row>
    <row r="260" spans="2:2">
      <c r="B260" s="181"/>
    </row>
    <row r="261" spans="2:2">
      <c r="B261" s="181"/>
    </row>
    <row r="262" spans="2:2">
      <c r="B262" s="181"/>
    </row>
    <row r="263" spans="2:2">
      <c r="B263" s="181"/>
    </row>
    <row r="264" spans="2:2">
      <c r="B264" s="181"/>
    </row>
    <row r="265" spans="2:2">
      <c r="B265" s="181"/>
    </row>
    <row r="266" spans="2:2">
      <c r="B266" s="181"/>
    </row>
  </sheetData>
  <sortState ref="A127:K133">
    <sortCondition ref="A127"/>
  </sortState>
  <mergeCells count="29">
    <mergeCell ref="A159:B159"/>
    <mergeCell ref="C159:E159"/>
    <mergeCell ref="D160:E160"/>
    <mergeCell ref="H160:J160"/>
    <mergeCell ref="A145:B145"/>
    <mergeCell ref="A146:B146"/>
    <mergeCell ref="A147:B147"/>
    <mergeCell ref="A149:B149"/>
    <mergeCell ref="A150:B150"/>
    <mergeCell ref="A77:B77"/>
    <mergeCell ref="A79:B79"/>
    <mergeCell ref="A124:B124"/>
    <mergeCell ref="A126:B126"/>
    <mergeCell ref="A134:B134"/>
    <mergeCell ref="A72:B72"/>
    <mergeCell ref="A73:B73"/>
    <mergeCell ref="A74:B74"/>
    <mergeCell ref="A75:B75"/>
    <mergeCell ref="A76:B76"/>
    <mergeCell ref="A26:B26"/>
    <mergeCell ref="A27:B27"/>
    <mergeCell ref="A31:B31"/>
    <mergeCell ref="B2:H2"/>
    <mergeCell ref="A6:B6"/>
    <mergeCell ref="A7:B7"/>
    <mergeCell ref="A8:B8"/>
    <mergeCell ref="A22:B22"/>
    <mergeCell ref="A4:B4"/>
    <mergeCell ref="A5:B5"/>
  </mergeCells>
  <pageMargins left="0.59055118110236227" right="0.59055118110236227" top="0.98425196850393704" bottom="0.59055118110236227" header="0.31496062992125984" footer="0.19685039370078741"/>
  <pageSetup paperSize="9" scale="86" fitToHeight="0" orientation="landscape" blackAndWhite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184"/>
  <sheetViews>
    <sheetView zoomScale="60" zoomScaleNormal="60" zoomScaleSheetLayoutView="55" workbookViewId="0">
      <selection activeCell="D7" sqref="D7"/>
    </sheetView>
  </sheetViews>
  <sheetFormatPr defaultColWidth="9.109375" defaultRowHeight="18"/>
  <cols>
    <col min="1" max="1" width="80.109375" style="170" customWidth="1"/>
    <col min="2" max="2" width="12.6640625" style="171" customWidth="1"/>
    <col min="3" max="4" width="25.6640625" style="171" customWidth="1"/>
    <col min="5" max="6" width="22.88671875" style="171" customWidth="1"/>
    <col min="7" max="8" width="23.109375" style="171" customWidth="1"/>
    <col min="9" max="9" width="9.5546875" style="170" customWidth="1"/>
    <col min="10" max="10" width="9.88671875" style="170" customWidth="1"/>
    <col min="11" max="16384" width="9.109375" style="170"/>
  </cols>
  <sheetData>
    <row r="1" spans="1:9" ht="20.399999999999999">
      <c r="H1" s="86" t="s">
        <v>345</v>
      </c>
    </row>
    <row r="2" spans="1:9" ht="39" customHeight="1">
      <c r="A2" s="430" t="s">
        <v>126</v>
      </c>
      <c r="B2" s="430"/>
      <c r="C2" s="430"/>
      <c r="D2" s="430"/>
      <c r="E2" s="430"/>
      <c r="F2" s="430"/>
      <c r="G2" s="430"/>
      <c r="H2" s="430"/>
    </row>
    <row r="3" spans="1:9" ht="30" customHeight="1">
      <c r="A3" s="516" t="s">
        <v>381</v>
      </c>
      <c r="B3" s="516"/>
      <c r="C3" s="516"/>
      <c r="D3" s="516"/>
      <c r="E3" s="516"/>
      <c r="F3" s="516"/>
      <c r="G3" s="516"/>
      <c r="H3" s="516"/>
    </row>
    <row r="4" spans="1:9" ht="58.5" customHeight="1">
      <c r="A4" s="514" t="s">
        <v>153</v>
      </c>
      <c r="B4" s="441" t="s">
        <v>18</v>
      </c>
      <c r="C4" s="441" t="s">
        <v>135</v>
      </c>
      <c r="D4" s="441"/>
      <c r="E4" s="453" t="s">
        <v>427</v>
      </c>
      <c r="F4" s="453"/>
      <c r="G4" s="453"/>
      <c r="H4" s="453"/>
    </row>
    <row r="5" spans="1:9" ht="68.25" customHeight="1">
      <c r="A5" s="515"/>
      <c r="B5" s="441"/>
      <c r="C5" s="323" t="s">
        <v>425</v>
      </c>
      <c r="D5" s="323" t="s">
        <v>426</v>
      </c>
      <c r="E5" s="323" t="s">
        <v>144</v>
      </c>
      <c r="F5" s="323" t="s">
        <v>140</v>
      </c>
      <c r="G5" s="168" t="s">
        <v>150</v>
      </c>
      <c r="H5" s="168" t="s">
        <v>151</v>
      </c>
    </row>
    <row r="6" spans="1:9" ht="33.75" customHeight="1">
      <c r="A6" s="325">
        <v>1</v>
      </c>
      <c r="B6" s="323">
        <v>2</v>
      </c>
      <c r="C6" s="325">
        <v>3</v>
      </c>
      <c r="D6" s="323">
        <v>4</v>
      </c>
      <c r="E6" s="325">
        <v>5</v>
      </c>
      <c r="F6" s="323">
        <v>6</v>
      </c>
      <c r="G6" s="325">
        <v>7</v>
      </c>
      <c r="H6" s="323">
        <v>8</v>
      </c>
    </row>
    <row r="7" spans="1:9" s="28" customFormat="1" ht="71.25" customHeight="1">
      <c r="A7" s="326" t="s">
        <v>68</v>
      </c>
      <c r="B7" s="73">
        <v>4000</v>
      </c>
      <c r="C7" s="51">
        <f>SUM(C8:C13)</f>
        <v>35222.1</v>
      </c>
      <c r="D7" s="51">
        <f>SUM(D8:D13)</f>
        <v>161606.6</v>
      </c>
      <c r="E7" s="51">
        <f>SUM(E8:E13)</f>
        <v>88182.6</v>
      </c>
      <c r="F7" s="51">
        <f>D7</f>
        <v>161606.6</v>
      </c>
      <c r="G7" s="51">
        <f>F7-E7</f>
        <v>73424</v>
      </c>
      <c r="H7" s="146">
        <f>(F7/E7)*100</f>
        <v>183.26359168362012</v>
      </c>
    </row>
    <row r="8" spans="1:9" ht="62.25" customHeight="1">
      <c r="A8" s="344" t="s">
        <v>1</v>
      </c>
      <c r="B8" s="71" t="s">
        <v>129</v>
      </c>
      <c r="C8" s="54">
        <f>'Розшифровка до капівидатків'!C7</f>
        <v>112</v>
      </c>
      <c r="D8" s="54">
        <f>'Розшифровка до капівидатків'!E7</f>
        <v>2797.4</v>
      </c>
      <c r="E8" s="54">
        <f>'Розшифровка до капівидатків'!D7</f>
        <v>0</v>
      </c>
      <c r="F8" s="54">
        <f t="shared" ref="F8:F13" si="0">D8</f>
        <v>2797.4</v>
      </c>
      <c r="G8" s="54">
        <f t="shared" ref="G8:G13" si="1">F8-E8</f>
        <v>2797.4</v>
      </c>
      <c r="H8" s="55"/>
    </row>
    <row r="9" spans="1:9" ht="57.75" customHeight="1">
      <c r="A9" s="344" t="s">
        <v>2</v>
      </c>
      <c r="B9" s="71">
        <v>4020</v>
      </c>
      <c r="C9" s="54">
        <f>'Розшифровка до капівидатків'!C10</f>
        <v>19945.099999999999</v>
      </c>
      <c r="D9" s="54">
        <f>'Розшифровка до капівидатків'!E10</f>
        <v>123868.40000000001</v>
      </c>
      <c r="E9" s="54">
        <f>'Розшифровка до капівидатків'!D10</f>
        <v>48020.4</v>
      </c>
      <c r="F9" s="54">
        <f t="shared" si="0"/>
        <v>123868.40000000001</v>
      </c>
      <c r="G9" s="54">
        <f t="shared" si="1"/>
        <v>75848</v>
      </c>
      <c r="H9" s="55">
        <f t="shared" ref="H9:H13" si="2">(F9/E9)*100</f>
        <v>257.94953811296864</v>
      </c>
    </row>
    <row r="10" spans="1:9" ht="70.5" customHeight="1">
      <c r="A10" s="344" t="s">
        <v>28</v>
      </c>
      <c r="B10" s="71">
        <v>4030</v>
      </c>
      <c r="C10" s="54"/>
      <c r="D10" s="54"/>
      <c r="E10" s="54"/>
      <c r="F10" s="54">
        <f t="shared" si="0"/>
        <v>0</v>
      </c>
      <c r="G10" s="54">
        <f t="shared" si="1"/>
        <v>0</v>
      </c>
      <c r="H10" s="55"/>
    </row>
    <row r="11" spans="1:9" ht="59.25" customHeight="1">
      <c r="A11" s="344" t="s">
        <v>3</v>
      </c>
      <c r="B11" s="71">
        <v>4040</v>
      </c>
      <c r="C11" s="54">
        <f>'Розшифровка до капівидатків'!C65</f>
        <v>16</v>
      </c>
      <c r="D11" s="54">
        <f>'Розшифровка до капівидатків'!E65</f>
        <v>9</v>
      </c>
      <c r="E11" s="54">
        <f>'Розшифровка до капівидатків'!D65</f>
        <v>0</v>
      </c>
      <c r="F11" s="54">
        <f t="shared" si="0"/>
        <v>9</v>
      </c>
      <c r="G11" s="54">
        <f t="shared" si="1"/>
        <v>9</v>
      </c>
      <c r="H11" s="55"/>
    </row>
    <row r="12" spans="1:9" ht="70.5" customHeight="1">
      <c r="A12" s="344" t="s">
        <v>59</v>
      </c>
      <c r="B12" s="71">
        <v>4050</v>
      </c>
      <c r="C12" s="54">
        <f>'Розшифровка до капівидатків'!C56</f>
        <v>15149</v>
      </c>
      <c r="D12" s="54">
        <f>'Розшифровка до капівидатків'!E56</f>
        <v>34931.800000000003</v>
      </c>
      <c r="E12" s="54">
        <f>'Розшифровка до капівидатків'!D56</f>
        <v>27373.4</v>
      </c>
      <c r="F12" s="54">
        <f t="shared" si="0"/>
        <v>34931.800000000003</v>
      </c>
      <c r="G12" s="54">
        <f t="shared" si="1"/>
        <v>7558.4000000000015</v>
      </c>
      <c r="H12" s="55">
        <f t="shared" si="2"/>
        <v>127.61220747148691</v>
      </c>
    </row>
    <row r="13" spans="1:9" ht="59.25" customHeight="1">
      <c r="A13" s="344" t="s">
        <v>201</v>
      </c>
      <c r="B13" s="71">
        <v>4060</v>
      </c>
      <c r="C13" s="54">
        <f>'Розшифровка до капівидатків'!C67</f>
        <v>0</v>
      </c>
      <c r="D13" s="54">
        <f>'Розшифровка до капівидатків'!E67</f>
        <v>0</v>
      </c>
      <c r="E13" s="54">
        <f>'Розшифровка до капівидатків'!D67</f>
        <v>12788.800000000001</v>
      </c>
      <c r="F13" s="54">
        <f t="shared" si="0"/>
        <v>0</v>
      </c>
      <c r="G13" s="54">
        <f t="shared" si="1"/>
        <v>-12788.800000000001</v>
      </c>
      <c r="H13" s="55">
        <f t="shared" si="2"/>
        <v>0</v>
      </c>
    </row>
    <row r="14" spans="1:9" ht="21">
      <c r="A14" s="96"/>
      <c r="B14" s="96"/>
      <c r="C14" s="96"/>
      <c r="D14" s="96"/>
      <c r="E14" s="96"/>
      <c r="F14" s="96"/>
      <c r="G14" s="96"/>
      <c r="H14" s="96"/>
    </row>
    <row r="15" spans="1:9" ht="21">
      <c r="A15" s="96"/>
      <c r="B15" s="96"/>
      <c r="C15" s="96"/>
      <c r="D15" s="96"/>
      <c r="E15" s="96"/>
      <c r="F15" s="96"/>
      <c r="G15" s="96"/>
      <c r="H15" s="96"/>
    </row>
    <row r="16" spans="1:9" s="347" customFormat="1" ht="19.5" customHeight="1">
      <c r="A16" s="72"/>
      <c r="B16" s="68"/>
      <c r="C16" s="68"/>
      <c r="D16" s="68"/>
      <c r="E16" s="68"/>
      <c r="F16" s="68"/>
      <c r="G16" s="68"/>
      <c r="H16" s="68"/>
      <c r="I16" s="170"/>
    </row>
    <row r="17" spans="1:8" ht="54" customHeight="1">
      <c r="A17" s="378" t="s">
        <v>554</v>
      </c>
      <c r="B17" s="248"/>
      <c r="C17" s="454"/>
      <c r="D17" s="454"/>
      <c r="E17" s="249"/>
      <c r="F17" s="455" t="s">
        <v>555</v>
      </c>
      <c r="G17" s="455"/>
      <c r="H17" s="96"/>
    </row>
    <row r="18" spans="1:8" s="347" customFormat="1" ht="15.6" hidden="1" customHeight="1">
      <c r="A18" s="171" t="s">
        <v>360</v>
      </c>
      <c r="B18" s="170"/>
      <c r="C18" s="444" t="s">
        <v>556</v>
      </c>
      <c r="D18" s="444"/>
      <c r="E18" s="170"/>
      <c r="F18" s="445" t="s">
        <v>76</v>
      </c>
      <c r="G18" s="445"/>
    </row>
    <row r="19" spans="1:8">
      <c r="A19" s="181"/>
    </row>
    <row r="20" spans="1:8">
      <c r="A20" s="181"/>
    </row>
    <row r="21" spans="1:8">
      <c r="A21" s="181"/>
    </row>
    <row r="22" spans="1:8">
      <c r="A22" s="181"/>
    </row>
    <row r="23" spans="1:8">
      <c r="A23" s="181"/>
    </row>
    <row r="24" spans="1:8">
      <c r="A24" s="181"/>
    </row>
    <row r="25" spans="1:8">
      <c r="A25" s="181"/>
    </row>
    <row r="26" spans="1:8">
      <c r="A26" s="181"/>
    </row>
    <row r="27" spans="1:8">
      <c r="A27" s="181"/>
    </row>
    <row r="28" spans="1:8">
      <c r="A28" s="181"/>
    </row>
    <row r="29" spans="1:8">
      <c r="A29" s="181"/>
    </row>
    <row r="30" spans="1:8">
      <c r="A30" s="181"/>
    </row>
    <row r="31" spans="1:8">
      <c r="A31" s="181"/>
    </row>
    <row r="32" spans="1:8">
      <c r="A32" s="181"/>
    </row>
    <row r="33" spans="1:1">
      <c r="A33" s="181"/>
    </row>
    <row r="34" spans="1:1">
      <c r="A34" s="181"/>
    </row>
    <row r="35" spans="1:1">
      <c r="A35" s="181"/>
    </row>
    <row r="36" spans="1:1">
      <c r="A36" s="181"/>
    </row>
    <row r="37" spans="1:1">
      <c r="A37" s="181"/>
    </row>
    <row r="38" spans="1:1">
      <c r="A38" s="181"/>
    </row>
    <row r="39" spans="1:1">
      <c r="A39" s="181"/>
    </row>
    <row r="40" spans="1:1">
      <c r="A40" s="181"/>
    </row>
    <row r="41" spans="1:1">
      <c r="A41" s="181"/>
    </row>
    <row r="42" spans="1:1">
      <c r="A42" s="181"/>
    </row>
    <row r="43" spans="1:1">
      <c r="A43" s="181"/>
    </row>
    <row r="44" spans="1:1">
      <c r="A44" s="181"/>
    </row>
    <row r="45" spans="1:1">
      <c r="A45" s="181"/>
    </row>
    <row r="46" spans="1:1">
      <c r="A46" s="181"/>
    </row>
    <row r="47" spans="1:1">
      <c r="A47" s="181"/>
    </row>
    <row r="48" spans="1:1">
      <c r="A48" s="181"/>
    </row>
    <row r="49" spans="1:1">
      <c r="A49" s="181"/>
    </row>
    <row r="50" spans="1:1">
      <c r="A50" s="181"/>
    </row>
    <row r="51" spans="1:1">
      <c r="A51" s="181"/>
    </row>
    <row r="52" spans="1:1">
      <c r="A52" s="181"/>
    </row>
    <row r="53" spans="1:1">
      <c r="A53" s="181"/>
    </row>
    <row r="54" spans="1:1">
      <c r="A54" s="181"/>
    </row>
    <row r="55" spans="1:1">
      <c r="A55" s="181"/>
    </row>
    <row r="56" spans="1:1">
      <c r="A56" s="181"/>
    </row>
    <row r="57" spans="1:1">
      <c r="A57" s="181"/>
    </row>
    <row r="58" spans="1:1">
      <c r="A58" s="181"/>
    </row>
    <row r="59" spans="1:1">
      <c r="A59" s="181"/>
    </row>
    <row r="60" spans="1:1">
      <c r="A60" s="181"/>
    </row>
    <row r="61" spans="1:1">
      <c r="A61" s="181"/>
    </row>
    <row r="62" spans="1:1">
      <c r="A62" s="181"/>
    </row>
    <row r="63" spans="1:1">
      <c r="A63" s="181"/>
    </row>
    <row r="64" spans="1:1">
      <c r="A64" s="181"/>
    </row>
    <row r="65" spans="1:1">
      <c r="A65" s="181"/>
    </row>
    <row r="66" spans="1:1">
      <c r="A66" s="181"/>
    </row>
    <row r="67" spans="1:1">
      <c r="A67" s="181"/>
    </row>
    <row r="68" spans="1:1">
      <c r="A68" s="181"/>
    </row>
    <row r="69" spans="1:1">
      <c r="A69" s="181"/>
    </row>
    <row r="70" spans="1:1">
      <c r="A70" s="181"/>
    </row>
    <row r="71" spans="1:1">
      <c r="A71" s="181"/>
    </row>
    <row r="72" spans="1:1">
      <c r="A72" s="181"/>
    </row>
    <row r="73" spans="1:1">
      <c r="A73" s="181"/>
    </row>
    <row r="74" spans="1:1">
      <c r="A74" s="181"/>
    </row>
    <row r="75" spans="1:1">
      <c r="A75" s="181"/>
    </row>
    <row r="76" spans="1:1">
      <c r="A76" s="181"/>
    </row>
    <row r="77" spans="1:1">
      <c r="A77" s="181"/>
    </row>
    <row r="78" spans="1:1">
      <c r="A78" s="181"/>
    </row>
    <row r="79" spans="1:1">
      <c r="A79" s="181"/>
    </row>
    <row r="80" spans="1:1">
      <c r="A80" s="181"/>
    </row>
    <row r="81" spans="1:1">
      <c r="A81" s="181"/>
    </row>
    <row r="82" spans="1:1">
      <c r="A82" s="181"/>
    </row>
    <row r="83" spans="1:1">
      <c r="A83" s="181"/>
    </row>
    <row r="84" spans="1:1">
      <c r="A84" s="181"/>
    </row>
    <row r="85" spans="1:1">
      <c r="A85" s="181"/>
    </row>
    <row r="86" spans="1:1">
      <c r="A86" s="181"/>
    </row>
    <row r="87" spans="1:1">
      <c r="A87" s="181"/>
    </row>
    <row r="88" spans="1:1">
      <c r="A88" s="181"/>
    </row>
    <row r="89" spans="1:1">
      <c r="A89" s="181"/>
    </row>
    <row r="90" spans="1:1">
      <c r="A90" s="181"/>
    </row>
    <row r="91" spans="1:1">
      <c r="A91" s="181"/>
    </row>
    <row r="92" spans="1:1">
      <c r="A92" s="181"/>
    </row>
    <row r="93" spans="1:1">
      <c r="A93" s="181"/>
    </row>
    <row r="94" spans="1:1">
      <c r="A94" s="181"/>
    </row>
    <row r="95" spans="1:1">
      <c r="A95" s="181"/>
    </row>
    <row r="96" spans="1:1">
      <c r="A96" s="181"/>
    </row>
    <row r="97" spans="1:1">
      <c r="A97" s="181"/>
    </row>
    <row r="98" spans="1:1">
      <c r="A98" s="181"/>
    </row>
    <row r="99" spans="1:1">
      <c r="A99" s="181"/>
    </row>
    <row r="100" spans="1:1">
      <c r="A100" s="181"/>
    </row>
    <row r="101" spans="1:1">
      <c r="A101" s="181"/>
    </row>
    <row r="102" spans="1:1">
      <c r="A102" s="181"/>
    </row>
    <row r="103" spans="1:1">
      <c r="A103" s="181"/>
    </row>
    <row r="104" spans="1:1">
      <c r="A104" s="181"/>
    </row>
    <row r="105" spans="1:1">
      <c r="A105" s="181"/>
    </row>
    <row r="106" spans="1:1">
      <c r="A106" s="181"/>
    </row>
    <row r="107" spans="1:1">
      <c r="A107" s="181"/>
    </row>
    <row r="108" spans="1:1">
      <c r="A108" s="181"/>
    </row>
    <row r="109" spans="1:1">
      <c r="A109" s="181"/>
    </row>
    <row r="110" spans="1:1">
      <c r="A110" s="181"/>
    </row>
    <row r="111" spans="1:1">
      <c r="A111" s="181"/>
    </row>
    <row r="112" spans="1:1">
      <c r="A112" s="181"/>
    </row>
    <row r="113" spans="1:1">
      <c r="A113" s="181"/>
    </row>
    <row r="114" spans="1:1">
      <c r="A114" s="181"/>
    </row>
    <row r="115" spans="1:1">
      <c r="A115" s="181"/>
    </row>
    <row r="116" spans="1:1">
      <c r="A116" s="181"/>
    </row>
    <row r="117" spans="1:1">
      <c r="A117" s="181"/>
    </row>
    <row r="118" spans="1:1">
      <c r="A118" s="181"/>
    </row>
    <row r="119" spans="1:1">
      <c r="A119" s="181"/>
    </row>
    <row r="120" spans="1:1">
      <c r="A120" s="181"/>
    </row>
    <row r="121" spans="1:1">
      <c r="A121" s="181"/>
    </row>
    <row r="122" spans="1:1">
      <c r="A122" s="181"/>
    </row>
    <row r="123" spans="1:1">
      <c r="A123" s="181"/>
    </row>
    <row r="124" spans="1:1">
      <c r="A124" s="181"/>
    </row>
    <row r="125" spans="1:1">
      <c r="A125" s="181"/>
    </row>
    <row r="126" spans="1:1">
      <c r="A126" s="181"/>
    </row>
    <row r="127" spans="1:1">
      <c r="A127" s="181"/>
    </row>
    <row r="128" spans="1:1">
      <c r="A128" s="181"/>
    </row>
    <row r="129" spans="1:1">
      <c r="A129" s="181"/>
    </row>
    <row r="130" spans="1:1">
      <c r="A130" s="181"/>
    </row>
    <row r="131" spans="1:1">
      <c r="A131" s="181"/>
    </row>
    <row r="132" spans="1:1">
      <c r="A132" s="181"/>
    </row>
    <row r="133" spans="1:1">
      <c r="A133" s="181"/>
    </row>
    <row r="134" spans="1:1">
      <c r="A134" s="181"/>
    </row>
    <row r="135" spans="1:1">
      <c r="A135" s="181"/>
    </row>
    <row r="136" spans="1:1">
      <c r="A136" s="181"/>
    </row>
    <row r="137" spans="1:1">
      <c r="A137" s="181"/>
    </row>
    <row r="138" spans="1:1">
      <c r="A138" s="181"/>
    </row>
    <row r="139" spans="1:1">
      <c r="A139" s="181"/>
    </row>
    <row r="140" spans="1:1">
      <c r="A140" s="181"/>
    </row>
    <row r="141" spans="1:1">
      <c r="A141" s="181"/>
    </row>
    <row r="142" spans="1:1">
      <c r="A142" s="181"/>
    </row>
    <row r="143" spans="1:1">
      <c r="A143" s="181"/>
    </row>
    <row r="144" spans="1:1">
      <c r="A144" s="181"/>
    </row>
    <row r="145" spans="1:1">
      <c r="A145" s="181"/>
    </row>
    <row r="146" spans="1:1">
      <c r="A146" s="181"/>
    </row>
    <row r="147" spans="1:1">
      <c r="A147" s="181"/>
    </row>
    <row r="148" spans="1:1">
      <c r="A148" s="181"/>
    </row>
    <row r="149" spans="1:1">
      <c r="A149" s="181"/>
    </row>
    <row r="150" spans="1:1">
      <c r="A150" s="181"/>
    </row>
    <row r="151" spans="1:1">
      <c r="A151" s="181"/>
    </row>
    <row r="152" spans="1:1">
      <c r="A152" s="181"/>
    </row>
    <row r="153" spans="1:1">
      <c r="A153" s="181"/>
    </row>
    <row r="154" spans="1:1">
      <c r="A154" s="181"/>
    </row>
    <row r="155" spans="1:1">
      <c r="A155" s="181"/>
    </row>
    <row r="156" spans="1:1">
      <c r="A156" s="181"/>
    </row>
    <row r="157" spans="1:1">
      <c r="A157" s="181"/>
    </row>
    <row r="158" spans="1:1">
      <c r="A158" s="181"/>
    </row>
    <row r="159" spans="1:1">
      <c r="A159" s="181"/>
    </row>
    <row r="160" spans="1:1">
      <c r="A160" s="181"/>
    </row>
    <row r="161" spans="1:1">
      <c r="A161" s="181"/>
    </row>
    <row r="162" spans="1:1">
      <c r="A162" s="181"/>
    </row>
    <row r="163" spans="1:1">
      <c r="A163" s="181"/>
    </row>
    <row r="164" spans="1:1">
      <c r="A164" s="181"/>
    </row>
    <row r="165" spans="1:1">
      <c r="A165" s="181"/>
    </row>
    <row r="166" spans="1:1">
      <c r="A166" s="181"/>
    </row>
    <row r="167" spans="1:1">
      <c r="A167" s="181"/>
    </row>
    <row r="168" spans="1:1">
      <c r="A168" s="181"/>
    </row>
    <row r="169" spans="1:1">
      <c r="A169" s="181"/>
    </row>
    <row r="170" spans="1:1">
      <c r="A170" s="181"/>
    </row>
    <row r="171" spans="1:1">
      <c r="A171" s="181"/>
    </row>
    <row r="172" spans="1:1">
      <c r="A172" s="181"/>
    </row>
    <row r="173" spans="1:1">
      <c r="A173" s="181"/>
    </row>
    <row r="174" spans="1:1">
      <c r="A174" s="181"/>
    </row>
    <row r="175" spans="1:1">
      <c r="A175" s="181"/>
    </row>
    <row r="176" spans="1:1">
      <c r="A176" s="181"/>
    </row>
    <row r="177" spans="1:1">
      <c r="A177" s="181"/>
    </row>
    <row r="178" spans="1:1">
      <c r="A178" s="181"/>
    </row>
    <row r="179" spans="1:1">
      <c r="A179" s="181"/>
    </row>
    <row r="180" spans="1:1">
      <c r="A180" s="181"/>
    </row>
    <row r="181" spans="1:1">
      <c r="A181" s="181"/>
    </row>
    <row r="182" spans="1:1">
      <c r="A182" s="181"/>
    </row>
    <row r="183" spans="1:1">
      <c r="A183" s="181"/>
    </row>
    <row r="184" spans="1:1">
      <c r="A184" s="181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15" right="0.59055118110236215" top="0.98425196850393704" bottom="0.59055118110236215" header="0.31496062992125984" footer="0.19685039370078741"/>
  <pageSetup paperSize="9" scale="57" firstPageNumber="9" fitToHeight="0" orientation="landscape" useFirstPageNumber="1" r:id="rId1"/>
  <headerFooter alignWithMargins="0"/>
  <ignoredErrors>
    <ignoredError sqref="B8" numberStoredAsText="1"/>
    <ignoredError sqref="H7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2:G252"/>
  <sheetViews>
    <sheetView view="pageBreakPreview" topLeftCell="A22" zoomScale="70" zoomScaleNormal="100" zoomScaleSheetLayoutView="70" workbookViewId="0">
      <selection activeCell="I22" sqref="I22"/>
    </sheetView>
  </sheetViews>
  <sheetFormatPr defaultColWidth="9.109375" defaultRowHeight="18"/>
  <cols>
    <col min="1" max="1" width="67.88671875" style="170" customWidth="1"/>
    <col min="2" max="2" width="16" style="171" customWidth="1"/>
    <col min="3" max="5" width="20.44140625" style="171" customWidth="1"/>
    <col min="6" max="6" width="16.44140625" style="171" customWidth="1"/>
    <col min="7" max="7" width="18.33203125" style="171" customWidth="1"/>
    <col min="8" max="16384" width="9.109375" style="170"/>
  </cols>
  <sheetData>
    <row r="2" spans="1:7" ht="33.75" customHeight="1">
      <c r="A2" s="517" t="s">
        <v>406</v>
      </c>
      <c r="B2" s="517"/>
      <c r="C2" s="517"/>
      <c r="D2" s="517"/>
      <c r="E2" s="517"/>
      <c r="F2" s="517"/>
      <c r="G2" s="517"/>
    </row>
    <row r="3" spans="1:7" ht="28.5" customHeight="1">
      <c r="A3" s="327"/>
      <c r="B3" s="156"/>
      <c r="C3" s="156"/>
      <c r="D3" s="327"/>
      <c r="E3" s="327"/>
      <c r="F3" s="327"/>
      <c r="G3" s="203" t="s">
        <v>366</v>
      </c>
    </row>
    <row r="4" spans="1:7" ht="62.25" customHeight="1">
      <c r="A4" s="162" t="s">
        <v>153</v>
      </c>
      <c r="B4" s="163" t="s">
        <v>18</v>
      </c>
      <c r="C4" s="163" t="s">
        <v>432</v>
      </c>
      <c r="D4" s="163" t="s">
        <v>433</v>
      </c>
      <c r="E4" s="163" t="s">
        <v>434</v>
      </c>
      <c r="F4" s="163" t="s">
        <v>420</v>
      </c>
      <c r="G4" s="164" t="s">
        <v>393</v>
      </c>
    </row>
    <row r="5" spans="1:7" ht="23.25" customHeight="1">
      <c r="A5" s="48">
        <v>1</v>
      </c>
      <c r="B5" s="346">
        <v>2</v>
      </c>
      <c r="C5" s="346">
        <v>3</v>
      </c>
      <c r="D5" s="346">
        <v>4</v>
      </c>
      <c r="E5" s="346">
        <v>5</v>
      </c>
      <c r="F5" s="346">
        <v>6</v>
      </c>
      <c r="G5" s="346">
        <v>7</v>
      </c>
    </row>
    <row r="6" spans="1:7" ht="39" customHeight="1">
      <c r="A6" s="334" t="s">
        <v>68</v>
      </c>
      <c r="B6" s="338"/>
      <c r="C6" s="265">
        <f>C7+C10+C56+C65+C67</f>
        <v>35222.1</v>
      </c>
      <c r="D6" s="265">
        <f>D7+D10+D56+D65+D67</f>
        <v>88182.6</v>
      </c>
      <c r="E6" s="265">
        <f>E7+E10+E56+E65+E67</f>
        <v>161606.6</v>
      </c>
      <c r="F6" s="265">
        <f>E6-D6</f>
        <v>73424</v>
      </c>
      <c r="G6" s="265">
        <f>(E6/D6)*100</f>
        <v>183.26359168362012</v>
      </c>
    </row>
    <row r="7" spans="1:7" ht="33" customHeight="1">
      <c r="A7" s="334" t="s">
        <v>397</v>
      </c>
      <c r="B7" s="338">
        <v>4010</v>
      </c>
      <c r="C7" s="265">
        <f>C8</f>
        <v>112</v>
      </c>
      <c r="D7" s="265">
        <f t="shared" ref="D7" si="0">D8</f>
        <v>0</v>
      </c>
      <c r="E7" s="265">
        <f>SUM(E8:E9)</f>
        <v>2797.4</v>
      </c>
      <c r="F7" s="265">
        <f t="shared" ref="F7:F75" si="1">E7-D7</f>
        <v>2797.4</v>
      </c>
      <c r="G7" s="265"/>
    </row>
    <row r="8" spans="1:7" ht="18" customHeight="1">
      <c r="A8" s="239" t="s">
        <v>800</v>
      </c>
      <c r="B8" s="281"/>
      <c r="C8" s="266">
        <v>112</v>
      </c>
      <c r="D8" s="266"/>
      <c r="E8" s="266"/>
      <c r="F8" s="266"/>
      <c r="G8" s="266"/>
    </row>
    <row r="9" spans="1:7" ht="18" customHeight="1">
      <c r="A9" s="236" t="s">
        <v>799</v>
      </c>
      <c r="B9" s="281"/>
      <c r="C9" s="266"/>
      <c r="D9" s="266"/>
      <c r="E9" s="266">
        <v>2797.4</v>
      </c>
      <c r="F9" s="266"/>
      <c r="G9" s="266"/>
    </row>
    <row r="10" spans="1:7" s="28" customFormat="1" ht="39.6" customHeight="1">
      <c r="A10" s="334" t="s">
        <v>685</v>
      </c>
      <c r="B10" s="160">
        <v>4020</v>
      </c>
      <c r="C10" s="267">
        <f>SUM(C11:C55)</f>
        <v>19945.099999999999</v>
      </c>
      <c r="D10" s="267">
        <f>SUM(D11:D55)</f>
        <v>48020.4</v>
      </c>
      <c r="E10" s="267">
        <f>SUM(E11:E55)</f>
        <v>123868.40000000001</v>
      </c>
      <c r="F10" s="265">
        <f t="shared" si="1"/>
        <v>75848</v>
      </c>
      <c r="G10" s="265">
        <f>(E10/D10)*100</f>
        <v>257.94953811296864</v>
      </c>
    </row>
    <row r="11" spans="1:7" s="28" customFormat="1" ht="22.95" hidden="1" customHeight="1">
      <c r="A11" s="239" t="s">
        <v>562</v>
      </c>
      <c r="B11" s="239"/>
      <c r="C11" s="382"/>
      <c r="D11" s="266"/>
      <c r="E11" s="266"/>
      <c r="F11" s="266">
        <f t="shared" ref="F11:F48" si="2">E11-D11</f>
        <v>0</v>
      </c>
      <c r="G11" s="266"/>
    </row>
    <row r="12" spans="1:7" s="28" customFormat="1" ht="20.25" customHeight="1">
      <c r="A12" s="239" t="s">
        <v>563</v>
      </c>
      <c r="B12" s="239"/>
      <c r="C12" s="382">
        <v>1939</v>
      </c>
      <c r="D12" s="266"/>
      <c r="E12" s="266"/>
      <c r="F12" s="266">
        <f t="shared" si="2"/>
        <v>0</v>
      </c>
      <c r="G12" s="266"/>
    </row>
    <row r="13" spans="1:7" s="28" customFormat="1" ht="20.25" hidden="1" customHeight="1">
      <c r="A13" s="236" t="s">
        <v>564</v>
      </c>
      <c r="B13" s="239"/>
      <c r="C13" s="382"/>
      <c r="D13" s="266"/>
      <c r="E13" s="266"/>
      <c r="F13" s="266">
        <f t="shared" si="2"/>
        <v>0</v>
      </c>
      <c r="G13" s="266"/>
    </row>
    <row r="14" spans="1:7" s="28" customFormat="1" ht="20.25" hidden="1" customHeight="1">
      <c r="A14" s="239" t="s">
        <v>565</v>
      </c>
      <c r="B14" s="239"/>
      <c r="C14" s="382"/>
      <c r="D14" s="266"/>
      <c r="E14" s="266"/>
      <c r="F14" s="266">
        <f t="shared" si="2"/>
        <v>0</v>
      </c>
      <c r="G14" s="266"/>
    </row>
    <row r="15" spans="1:7" s="28" customFormat="1" ht="20.25" hidden="1" customHeight="1">
      <c r="A15" s="239" t="s">
        <v>566</v>
      </c>
      <c r="B15" s="239"/>
      <c r="C15" s="382"/>
      <c r="D15" s="266"/>
      <c r="E15" s="266"/>
      <c r="F15" s="266">
        <f t="shared" si="2"/>
        <v>0</v>
      </c>
      <c r="G15" s="266"/>
    </row>
    <row r="16" spans="1:7" s="28" customFormat="1" ht="20.25" hidden="1" customHeight="1">
      <c r="A16" s="239" t="s">
        <v>567</v>
      </c>
      <c r="B16" s="239"/>
      <c r="C16" s="382"/>
      <c r="D16" s="266"/>
      <c r="E16" s="266"/>
      <c r="F16" s="266">
        <f t="shared" si="2"/>
        <v>0</v>
      </c>
      <c r="G16" s="266"/>
    </row>
    <row r="17" spans="1:7" s="28" customFormat="1" ht="19.95" customHeight="1">
      <c r="A17" s="239" t="s">
        <v>568</v>
      </c>
      <c r="B17" s="239"/>
      <c r="C17" s="382">
        <v>48</v>
      </c>
      <c r="D17" s="266"/>
      <c r="E17" s="266"/>
      <c r="F17" s="266">
        <f t="shared" si="2"/>
        <v>0</v>
      </c>
      <c r="G17" s="266"/>
    </row>
    <row r="18" spans="1:7" s="28" customFormat="1" ht="23.25" customHeight="1">
      <c r="A18" s="239" t="s">
        <v>569</v>
      </c>
      <c r="B18" s="239"/>
      <c r="C18" s="382">
        <v>24</v>
      </c>
      <c r="D18" s="266"/>
      <c r="E18" s="266"/>
      <c r="F18" s="266">
        <f t="shared" si="2"/>
        <v>0</v>
      </c>
      <c r="G18" s="266"/>
    </row>
    <row r="19" spans="1:7" s="28" customFormat="1" ht="19.95" hidden="1" customHeight="1">
      <c r="A19" s="239" t="s">
        <v>570</v>
      </c>
      <c r="B19" s="239"/>
      <c r="C19" s="382"/>
      <c r="D19" s="266"/>
      <c r="E19" s="266"/>
      <c r="F19" s="266">
        <f t="shared" si="2"/>
        <v>0</v>
      </c>
      <c r="G19" s="266"/>
    </row>
    <row r="20" spans="1:7" s="28" customFormat="1" ht="21.6" hidden="1" customHeight="1">
      <c r="A20" s="269" t="s">
        <v>571</v>
      </c>
      <c r="B20" s="282"/>
      <c r="C20" s="382"/>
      <c r="D20" s="266"/>
      <c r="E20" s="266"/>
      <c r="F20" s="266">
        <f t="shared" si="2"/>
        <v>0</v>
      </c>
      <c r="G20" s="266"/>
    </row>
    <row r="21" spans="1:7" s="28" customFormat="1" ht="40.200000000000003" hidden="1" customHeight="1">
      <c r="A21" s="239" t="s">
        <v>572</v>
      </c>
      <c r="B21" s="239"/>
      <c r="C21" s="382"/>
      <c r="D21" s="266"/>
      <c r="E21" s="266"/>
      <c r="F21" s="266">
        <f t="shared" si="2"/>
        <v>0</v>
      </c>
      <c r="G21" s="266" t="e">
        <f>(E21/D21)*100</f>
        <v>#DIV/0!</v>
      </c>
    </row>
    <row r="22" spans="1:7" s="28" customFormat="1" ht="34.950000000000003" customHeight="1">
      <c r="A22" s="236" t="s">
        <v>573</v>
      </c>
      <c r="B22" s="239"/>
      <c r="C22" s="382"/>
      <c r="D22" s="266">
        <v>400</v>
      </c>
      <c r="E22" s="266"/>
      <c r="F22" s="266">
        <f t="shared" si="2"/>
        <v>-400</v>
      </c>
      <c r="G22" s="266"/>
    </row>
    <row r="23" spans="1:7" s="28" customFormat="1" ht="22.2" hidden="1" customHeight="1">
      <c r="A23" s="239" t="s">
        <v>574</v>
      </c>
      <c r="B23" s="239"/>
      <c r="C23" s="382"/>
      <c r="D23" s="266"/>
      <c r="E23" s="266"/>
      <c r="F23" s="266">
        <f t="shared" si="2"/>
        <v>0</v>
      </c>
      <c r="G23" s="266" t="e">
        <f>(E23/D23)*100</f>
        <v>#DIV/0!</v>
      </c>
    </row>
    <row r="24" spans="1:7" s="28" customFormat="1" ht="21" customHeight="1">
      <c r="A24" s="239" t="s">
        <v>575</v>
      </c>
      <c r="B24" s="239"/>
      <c r="C24" s="270">
        <v>3233.1</v>
      </c>
      <c r="D24" s="266"/>
      <c r="E24" s="405"/>
      <c r="F24" s="266">
        <f t="shared" si="2"/>
        <v>0</v>
      </c>
      <c r="G24" s="266"/>
    </row>
    <row r="25" spans="1:7" s="28" customFormat="1" ht="26.4" hidden="1" customHeight="1">
      <c r="A25" s="239" t="s">
        <v>576</v>
      </c>
      <c r="B25" s="239"/>
      <c r="C25" s="266"/>
      <c r="D25" s="266"/>
      <c r="E25" s="266"/>
      <c r="F25" s="266">
        <f t="shared" si="2"/>
        <v>0</v>
      </c>
      <c r="G25" s="266" t="e">
        <f>(E25/D25)*100</f>
        <v>#DIV/0!</v>
      </c>
    </row>
    <row r="26" spans="1:7" s="28" customFormat="1" ht="24.75" hidden="1" customHeight="1">
      <c r="A26" s="239" t="s">
        <v>577</v>
      </c>
      <c r="B26" s="239"/>
      <c r="C26" s="270"/>
      <c r="D26" s="270"/>
      <c r="E26" s="270"/>
      <c r="F26" s="266">
        <f t="shared" si="2"/>
        <v>0</v>
      </c>
      <c r="G26" s="266" t="e">
        <f>(E26/D26)*100</f>
        <v>#DIV/0!</v>
      </c>
    </row>
    <row r="27" spans="1:7" s="28" customFormat="1" ht="19.2" customHeight="1">
      <c r="A27" s="239" t="s">
        <v>801</v>
      </c>
      <c r="B27" s="239"/>
      <c r="C27" s="270"/>
      <c r="D27" s="266"/>
      <c r="E27" s="405">
        <v>47</v>
      </c>
      <c r="F27" s="266">
        <f t="shared" si="2"/>
        <v>47</v>
      </c>
      <c r="G27" s="266"/>
    </row>
    <row r="28" spans="1:7" s="28" customFormat="1" ht="25.2" hidden="1" customHeight="1">
      <c r="A28" s="239" t="s">
        <v>578</v>
      </c>
      <c r="B28" s="239"/>
      <c r="C28" s="270"/>
      <c r="D28" s="266"/>
      <c r="E28" s="266"/>
      <c r="F28" s="266">
        <f t="shared" si="2"/>
        <v>0</v>
      </c>
      <c r="G28" s="266"/>
    </row>
    <row r="29" spans="1:7" hidden="1">
      <c r="A29" s="239" t="s">
        <v>579</v>
      </c>
      <c r="B29" s="239"/>
      <c r="C29" s="270"/>
      <c r="D29" s="266"/>
      <c r="E29" s="266"/>
      <c r="F29" s="266">
        <f t="shared" si="2"/>
        <v>0</v>
      </c>
      <c r="G29" s="266"/>
    </row>
    <row r="30" spans="1:7" ht="26.25" hidden="1" customHeight="1">
      <c r="A30" s="239" t="s">
        <v>580</v>
      </c>
      <c r="B30" s="239"/>
      <c r="C30" s="270"/>
      <c r="D30" s="266"/>
      <c r="E30" s="266"/>
      <c r="F30" s="266">
        <f t="shared" si="2"/>
        <v>0</v>
      </c>
      <c r="G30" s="266"/>
    </row>
    <row r="31" spans="1:7" hidden="1">
      <c r="A31" s="239" t="s">
        <v>581</v>
      </c>
      <c r="B31" s="239"/>
      <c r="C31" s="270"/>
      <c r="D31" s="266"/>
      <c r="E31" s="266"/>
      <c r="F31" s="266">
        <f t="shared" si="2"/>
        <v>0</v>
      </c>
      <c r="G31" s="266"/>
    </row>
    <row r="32" spans="1:7">
      <c r="A32" s="239" t="s">
        <v>582</v>
      </c>
      <c r="B32" s="239"/>
      <c r="C32" s="270">
        <v>56</v>
      </c>
      <c r="D32" s="266"/>
      <c r="E32" s="266"/>
      <c r="F32" s="266">
        <f t="shared" si="2"/>
        <v>0</v>
      </c>
      <c r="G32" s="266"/>
    </row>
    <row r="33" spans="1:7" hidden="1">
      <c r="A33" s="239" t="s">
        <v>584</v>
      </c>
      <c r="B33" s="239"/>
      <c r="C33" s="270"/>
      <c r="D33" s="266"/>
      <c r="E33" s="266"/>
      <c r="F33" s="266">
        <f t="shared" si="2"/>
        <v>0</v>
      </c>
      <c r="G33" s="266"/>
    </row>
    <row r="34" spans="1:7" hidden="1">
      <c r="A34" s="239" t="s">
        <v>585</v>
      </c>
      <c r="B34" s="239"/>
      <c r="C34" s="270"/>
      <c r="D34" s="266"/>
      <c r="E34" s="266"/>
      <c r="F34" s="266">
        <f t="shared" si="2"/>
        <v>0</v>
      </c>
      <c r="G34" s="266"/>
    </row>
    <row r="35" spans="1:7" ht="36">
      <c r="A35" s="239" t="s">
        <v>586</v>
      </c>
      <c r="B35" s="239"/>
      <c r="C35" s="270"/>
      <c r="D35" s="266">
        <v>47120.4</v>
      </c>
      <c r="E35" s="405">
        <v>89753.1</v>
      </c>
      <c r="F35" s="266">
        <f t="shared" si="2"/>
        <v>42632.700000000004</v>
      </c>
      <c r="G35" s="266"/>
    </row>
    <row r="36" spans="1:7" hidden="1">
      <c r="A36" s="239" t="s">
        <v>587</v>
      </c>
      <c r="B36" s="239"/>
      <c r="C36" s="270"/>
      <c r="D36" s="266"/>
      <c r="E36" s="266"/>
      <c r="F36" s="266">
        <f t="shared" si="2"/>
        <v>0</v>
      </c>
      <c r="G36" s="266" t="e">
        <f>(E36/D36)*100</f>
        <v>#DIV/0!</v>
      </c>
    </row>
    <row r="37" spans="1:7">
      <c r="A37" s="239" t="s">
        <v>588</v>
      </c>
      <c r="B37" s="239"/>
      <c r="C37" s="270"/>
      <c r="D37" s="266"/>
      <c r="E37" s="405">
        <v>22</v>
      </c>
      <c r="F37" s="266">
        <f t="shared" si="2"/>
        <v>22</v>
      </c>
      <c r="G37" s="266"/>
    </row>
    <row r="38" spans="1:7">
      <c r="A38" s="239" t="s">
        <v>589</v>
      </c>
      <c r="B38" s="239"/>
      <c r="C38" s="270">
        <v>7</v>
      </c>
      <c r="D38" s="266"/>
      <c r="E38" s="266"/>
      <c r="F38" s="266">
        <f t="shared" si="2"/>
        <v>0</v>
      </c>
      <c r="G38" s="266"/>
    </row>
    <row r="39" spans="1:7" hidden="1">
      <c r="A39" s="239" t="s">
        <v>590</v>
      </c>
      <c r="B39" s="239"/>
      <c r="C39" s="270"/>
      <c r="D39" s="266"/>
      <c r="E39" s="266"/>
      <c r="F39" s="266">
        <f t="shared" si="2"/>
        <v>0</v>
      </c>
      <c r="G39" s="266" t="e">
        <f>(E39/D39)*100</f>
        <v>#DIV/0!</v>
      </c>
    </row>
    <row r="40" spans="1:7" ht="36">
      <c r="A40" s="230" t="s">
        <v>591</v>
      </c>
      <c r="B40" s="239"/>
      <c r="C40" s="270">
        <v>2281</v>
      </c>
      <c r="D40" s="266"/>
      <c r="E40" s="266"/>
      <c r="F40" s="266">
        <f t="shared" si="2"/>
        <v>0</v>
      </c>
      <c r="G40" s="266"/>
    </row>
    <row r="41" spans="1:7" hidden="1">
      <c r="A41" s="239" t="s">
        <v>592</v>
      </c>
      <c r="B41" s="239"/>
      <c r="C41" s="270"/>
      <c r="D41" s="266"/>
      <c r="E41" s="266"/>
      <c r="F41" s="266">
        <f t="shared" si="2"/>
        <v>0</v>
      </c>
      <c r="G41" s="266"/>
    </row>
    <row r="42" spans="1:7" hidden="1">
      <c r="A42" s="239" t="s">
        <v>593</v>
      </c>
      <c r="B42" s="239"/>
      <c r="C42" s="270"/>
      <c r="D42" s="266"/>
      <c r="E42" s="266"/>
      <c r="F42" s="266">
        <f t="shared" si="2"/>
        <v>0</v>
      </c>
      <c r="G42" s="266"/>
    </row>
    <row r="43" spans="1:7" hidden="1">
      <c r="A43" s="239" t="s">
        <v>594</v>
      </c>
      <c r="B43" s="239"/>
      <c r="C43" s="270"/>
      <c r="D43" s="266"/>
      <c r="E43" s="266"/>
      <c r="F43" s="266">
        <f t="shared" si="2"/>
        <v>0</v>
      </c>
      <c r="G43" s="266"/>
    </row>
    <row r="44" spans="1:7" hidden="1">
      <c r="A44" s="239" t="s">
        <v>595</v>
      </c>
      <c r="B44" s="239"/>
      <c r="C44" s="270"/>
      <c r="D44" s="266"/>
      <c r="E44" s="266"/>
      <c r="F44" s="266">
        <f t="shared" si="2"/>
        <v>0</v>
      </c>
      <c r="G44" s="266"/>
    </row>
    <row r="45" spans="1:7">
      <c r="A45" s="239" t="s">
        <v>686</v>
      </c>
      <c r="B45" s="239"/>
      <c r="C45" s="270">
        <v>220</v>
      </c>
      <c r="D45" s="266"/>
      <c r="E45" s="266">
        <v>139</v>
      </c>
      <c r="F45" s="266">
        <f t="shared" si="2"/>
        <v>139</v>
      </c>
      <c r="G45" s="266"/>
    </row>
    <row r="46" spans="1:7">
      <c r="A46" s="239" t="s">
        <v>596</v>
      </c>
      <c r="B46" s="239"/>
      <c r="C46" s="270">
        <v>11</v>
      </c>
      <c r="D46" s="266"/>
      <c r="E46" s="266"/>
      <c r="F46" s="266">
        <f t="shared" si="2"/>
        <v>0</v>
      </c>
      <c r="G46" s="266"/>
    </row>
    <row r="47" spans="1:7" ht="36" hidden="1">
      <c r="A47" s="239" t="s">
        <v>687</v>
      </c>
      <c r="B47" s="239"/>
      <c r="C47" s="270"/>
      <c r="D47" s="266"/>
      <c r="E47" s="266"/>
      <c r="F47" s="266">
        <f t="shared" si="2"/>
        <v>0</v>
      </c>
      <c r="G47" s="266"/>
    </row>
    <row r="48" spans="1:7">
      <c r="A48" s="269" t="s">
        <v>597</v>
      </c>
      <c r="B48" s="282"/>
      <c r="C48" s="270"/>
      <c r="D48" s="266">
        <v>500</v>
      </c>
      <c r="E48" s="266"/>
      <c r="F48" s="266">
        <f t="shared" si="2"/>
        <v>-500</v>
      </c>
      <c r="G48" s="266"/>
    </row>
    <row r="49" spans="1:7">
      <c r="A49" s="236" t="s">
        <v>812</v>
      </c>
      <c r="B49" s="239"/>
      <c r="C49" s="382"/>
      <c r="D49" s="266"/>
      <c r="E49" s="405">
        <v>97.8</v>
      </c>
      <c r="F49" s="266"/>
      <c r="G49" s="266"/>
    </row>
    <row r="50" spans="1:7">
      <c r="A50" s="236" t="s">
        <v>813</v>
      </c>
      <c r="B50" s="239"/>
      <c r="C50" s="382"/>
      <c r="D50" s="266"/>
      <c r="E50" s="405">
        <v>1798</v>
      </c>
      <c r="F50" s="266"/>
      <c r="G50" s="266"/>
    </row>
    <row r="51" spans="1:7" hidden="1">
      <c r="A51" s="239" t="s">
        <v>598</v>
      </c>
      <c r="B51" s="239"/>
      <c r="C51" s="270"/>
      <c r="D51" s="266"/>
      <c r="E51" s="266"/>
      <c r="F51" s="266">
        <f t="shared" ref="F51:F56" si="3">E51-D51</f>
        <v>0</v>
      </c>
      <c r="G51" s="266"/>
    </row>
    <row r="52" spans="1:7" hidden="1">
      <c r="A52" s="269" t="s">
        <v>599</v>
      </c>
      <c r="B52" s="282"/>
      <c r="C52" s="270"/>
      <c r="D52" s="266"/>
      <c r="E52" s="266"/>
      <c r="F52" s="266">
        <f t="shared" si="3"/>
        <v>0</v>
      </c>
      <c r="G52" s="266"/>
    </row>
    <row r="53" spans="1:7" ht="20.399999999999999" customHeight="1">
      <c r="A53" s="239" t="s">
        <v>831</v>
      </c>
      <c r="B53" s="239"/>
      <c r="C53" s="270">
        <v>12126</v>
      </c>
      <c r="D53" s="266"/>
      <c r="E53" s="266">
        <v>32011.5</v>
      </c>
      <c r="F53" s="266">
        <f t="shared" si="3"/>
        <v>32011.5</v>
      </c>
      <c r="G53" s="266"/>
    </row>
    <row r="54" spans="1:7" hidden="1">
      <c r="A54" s="239" t="s">
        <v>601</v>
      </c>
      <c r="B54" s="239"/>
      <c r="C54" s="270"/>
      <c r="D54" s="266"/>
      <c r="E54" s="266"/>
      <c r="F54" s="266">
        <f t="shared" si="3"/>
        <v>0</v>
      </c>
      <c r="G54" s="266" t="e">
        <f>(E54/D54)*100</f>
        <v>#DIV/0!</v>
      </c>
    </row>
    <row r="55" spans="1:7" hidden="1">
      <c r="A55" s="239" t="s">
        <v>602</v>
      </c>
      <c r="B55" s="239"/>
      <c r="C55" s="270"/>
      <c r="D55" s="266"/>
      <c r="E55" s="266"/>
      <c r="F55" s="266">
        <f t="shared" si="3"/>
        <v>0</v>
      </c>
      <c r="G55" s="266" t="e">
        <f>(E55/D55)*100</f>
        <v>#DIV/0!</v>
      </c>
    </row>
    <row r="56" spans="1:7" ht="52.2">
      <c r="A56" s="334" t="s">
        <v>688</v>
      </c>
      <c r="B56" s="160">
        <v>4050</v>
      </c>
      <c r="C56" s="271">
        <f>SUM(C57:C63)</f>
        <v>15149</v>
      </c>
      <c r="D56" s="271">
        <f>SUM(D57:D63)</f>
        <v>27373.4</v>
      </c>
      <c r="E56" s="271">
        <f>SUM(E57:E64)</f>
        <v>34931.800000000003</v>
      </c>
      <c r="F56" s="265">
        <f t="shared" si="3"/>
        <v>7558.4000000000015</v>
      </c>
      <c r="G56" s="265">
        <f>(E56/D56)*100</f>
        <v>127.61220747148691</v>
      </c>
    </row>
    <row r="57" spans="1:7">
      <c r="A57" s="285" t="s">
        <v>762</v>
      </c>
      <c r="B57" s="161"/>
      <c r="C57" s="270">
        <v>254</v>
      </c>
      <c r="D57" s="266"/>
      <c r="E57" s="266"/>
      <c r="F57" s="266"/>
      <c r="G57" s="266"/>
    </row>
    <row r="58" spans="1:7">
      <c r="A58" s="283" t="s">
        <v>652</v>
      </c>
      <c r="B58" s="161"/>
      <c r="C58" s="270">
        <v>11295</v>
      </c>
      <c r="D58" s="266"/>
      <c r="E58" s="266"/>
      <c r="F58" s="266"/>
      <c r="G58" s="266"/>
    </row>
    <row r="59" spans="1:7" ht="54" hidden="1">
      <c r="A59" s="284" t="s">
        <v>651</v>
      </c>
      <c r="B59" s="161"/>
      <c r="C59" s="270"/>
      <c r="D59" s="266"/>
      <c r="E59" s="266"/>
      <c r="F59" s="266"/>
      <c r="G59" s="266"/>
    </row>
    <row r="60" spans="1:7" ht="36">
      <c r="A60" s="236" t="s">
        <v>636</v>
      </c>
      <c r="B60" s="161"/>
      <c r="C60" s="270"/>
      <c r="D60" s="266">
        <v>27373.4</v>
      </c>
      <c r="E60" s="266">
        <v>33070.800000000003</v>
      </c>
      <c r="F60" s="266">
        <f>E60-D60</f>
        <v>5697.4000000000015</v>
      </c>
      <c r="G60" s="266">
        <f>(E60/D60)*100</f>
        <v>120.81363659611155</v>
      </c>
    </row>
    <row r="61" spans="1:7" ht="36" hidden="1">
      <c r="A61" s="272" t="s">
        <v>604</v>
      </c>
      <c r="B61" s="160"/>
      <c r="C61" s="271"/>
      <c r="D61" s="271"/>
      <c r="E61" s="271"/>
      <c r="F61" s="266">
        <f>E61-D61</f>
        <v>0</v>
      </c>
      <c r="G61" s="266"/>
    </row>
    <row r="62" spans="1:7" ht="72.75" customHeight="1">
      <c r="A62" s="236" t="s">
        <v>650</v>
      </c>
      <c r="B62" s="160"/>
      <c r="C62" s="270">
        <v>3600</v>
      </c>
      <c r="D62" s="266"/>
      <c r="E62" s="405"/>
      <c r="F62" s="266">
        <f>E62-D62</f>
        <v>0</v>
      </c>
      <c r="G62" s="266"/>
    </row>
    <row r="63" spans="1:7" ht="36">
      <c r="A63" s="230" t="s">
        <v>646</v>
      </c>
      <c r="B63" s="161"/>
      <c r="C63" s="270"/>
      <c r="D63" s="266"/>
      <c r="E63" s="266">
        <v>47</v>
      </c>
      <c r="F63" s="266"/>
      <c r="G63" s="266"/>
    </row>
    <row r="64" spans="1:7" ht="18" customHeight="1">
      <c r="A64" s="236" t="s">
        <v>802</v>
      </c>
      <c r="B64" s="281"/>
      <c r="C64" s="266"/>
      <c r="D64" s="266"/>
      <c r="E64" s="266">
        <v>1814</v>
      </c>
      <c r="F64" s="266"/>
      <c r="G64" s="266"/>
    </row>
    <row r="65" spans="1:7" ht="34.799999999999997">
      <c r="A65" s="334" t="s">
        <v>398</v>
      </c>
      <c r="B65" s="160">
        <v>4040</v>
      </c>
      <c r="C65" s="271">
        <f>SUM(C66:C69)</f>
        <v>16</v>
      </c>
      <c r="D65" s="271">
        <f>SUM(D66)</f>
        <v>0</v>
      </c>
      <c r="E65" s="271">
        <f>SUM(E66:E70)</f>
        <v>9</v>
      </c>
      <c r="F65" s="265">
        <f t="shared" si="1"/>
        <v>9</v>
      </c>
      <c r="G65" s="265"/>
    </row>
    <row r="66" spans="1:7">
      <c r="A66" s="236" t="s">
        <v>603</v>
      </c>
      <c r="B66" s="161"/>
      <c r="C66" s="382">
        <v>16</v>
      </c>
      <c r="D66" s="266"/>
      <c r="E66" s="405">
        <v>9</v>
      </c>
      <c r="F66" s="266"/>
      <c r="G66" s="266"/>
    </row>
    <row r="67" spans="1:7">
      <c r="A67" s="334" t="s">
        <v>605</v>
      </c>
      <c r="B67" s="160">
        <v>4060</v>
      </c>
      <c r="C67" s="267">
        <f>SUM(C68:C79)</f>
        <v>0</v>
      </c>
      <c r="D67" s="267">
        <f t="shared" ref="D67:E67" si="4">SUM(D68:D79)</f>
        <v>12788.800000000001</v>
      </c>
      <c r="E67" s="267">
        <f t="shared" si="4"/>
        <v>0</v>
      </c>
      <c r="F67" s="265">
        <f>E67-D67</f>
        <v>-12788.800000000001</v>
      </c>
      <c r="G67" s="265"/>
    </row>
    <row r="68" spans="1:7" ht="36">
      <c r="A68" s="236" t="s">
        <v>609</v>
      </c>
      <c r="B68" s="239"/>
      <c r="C68" s="382"/>
      <c r="D68" s="266">
        <v>400.2</v>
      </c>
      <c r="E68" s="266"/>
      <c r="F68" s="266">
        <f>E68-D68</f>
        <v>-400.2</v>
      </c>
      <c r="G68" s="266">
        <f>(E68/D68)*100</f>
        <v>0</v>
      </c>
    </row>
    <row r="69" spans="1:7" ht="54">
      <c r="A69" s="236" t="s">
        <v>610</v>
      </c>
      <c r="B69" s="239"/>
      <c r="C69" s="382"/>
      <c r="D69" s="266">
        <v>1234.9000000000001</v>
      </c>
      <c r="E69" s="266"/>
      <c r="F69" s="266">
        <f>E69-D69</f>
        <v>-1234.9000000000001</v>
      </c>
      <c r="G69" s="266"/>
    </row>
    <row r="70" spans="1:7" ht="54">
      <c r="A70" s="236" t="s">
        <v>608</v>
      </c>
      <c r="B70" s="239"/>
      <c r="C70" s="382"/>
      <c r="D70" s="266">
        <v>321.7</v>
      </c>
      <c r="E70" s="266"/>
      <c r="F70" s="266"/>
      <c r="G70" s="266"/>
    </row>
    <row r="71" spans="1:7" ht="54">
      <c r="A71" s="236" t="s">
        <v>607</v>
      </c>
      <c r="B71" s="239"/>
      <c r="C71" s="270"/>
      <c r="D71" s="270">
        <v>644.4</v>
      </c>
      <c r="E71" s="270"/>
      <c r="F71" s="266">
        <f t="shared" si="1"/>
        <v>-644.4</v>
      </c>
      <c r="G71" s="266">
        <f t="shared" ref="G71:G79" si="5">(E71/D71)*100</f>
        <v>0</v>
      </c>
    </row>
    <row r="72" spans="1:7" ht="36" hidden="1">
      <c r="A72" s="239" t="s">
        <v>689</v>
      </c>
      <c r="B72" s="239"/>
      <c r="C72" s="270"/>
      <c r="D72" s="266"/>
      <c r="E72" s="266"/>
      <c r="F72" s="266">
        <f t="shared" si="1"/>
        <v>0</v>
      </c>
      <c r="G72" s="266" t="e">
        <f t="shared" si="5"/>
        <v>#DIV/0!</v>
      </c>
    </row>
    <row r="73" spans="1:7" ht="43.5" customHeight="1">
      <c r="A73" s="236" t="s">
        <v>614</v>
      </c>
      <c r="B73" s="239"/>
      <c r="C73" s="270"/>
      <c r="D73" s="266">
        <v>6055</v>
      </c>
      <c r="E73" s="266"/>
      <c r="F73" s="266">
        <f t="shared" si="1"/>
        <v>-6055</v>
      </c>
      <c r="G73" s="266">
        <f t="shared" si="5"/>
        <v>0</v>
      </c>
    </row>
    <row r="74" spans="1:7" ht="36">
      <c r="A74" s="236" t="s">
        <v>615</v>
      </c>
      <c r="B74" s="239"/>
      <c r="C74" s="270"/>
      <c r="D74" s="266">
        <v>1132.5999999999999</v>
      </c>
      <c r="E74" s="266"/>
      <c r="F74" s="266">
        <f t="shared" si="1"/>
        <v>-1132.5999999999999</v>
      </c>
      <c r="G74" s="266">
        <f t="shared" si="5"/>
        <v>0</v>
      </c>
    </row>
    <row r="75" spans="1:7" hidden="1">
      <c r="A75" s="236" t="s">
        <v>616</v>
      </c>
      <c r="B75" s="239"/>
      <c r="C75" s="270"/>
      <c r="D75" s="266"/>
      <c r="E75" s="266"/>
      <c r="F75" s="266">
        <f t="shared" si="1"/>
        <v>0</v>
      </c>
      <c r="G75" s="266" t="e">
        <f t="shared" si="5"/>
        <v>#DIV/0!</v>
      </c>
    </row>
    <row r="76" spans="1:7" ht="36" hidden="1">
      <c r="A76" s="236" t="s">
        <v>690</v>
      </c>
      <c r="B76" s="239"/>
      <c r="C76" s="270"/>
      <c r="D76" s="266"/>
      <c r="E76" s="266"/>
      <c r="F76" s="266">
        <f t="shared" ref="F76:F79" si="6">E76-D76</f>
        <v>0</v>
      </c>
      <c r="G76" s="266" t="e">
        <f t="shared" si="5"/>
        <v>#DIV/0!</v>
      </c>
    </row>
    <row r="77" spans="1:7" hidden="1">
      <c r="A77" s="239" t="s">
        <v>611</v>
      </c>
      <c r="B77" s="239"/>
      <c r="C77" s="270"/>
      <c r="D77" s="266"/>
      <c r="E77" s="266"/>
      <c r="F77" s="266">
        <f t="shared" si="6"/>
        <v>0</v>
      </c>
      <c r="G77" s="266" t="e">
        <f t="shared" si="5"/>
        <v>#DIV/0!</v>
      </c>
    </row>
    <row r="78" spans="1:7" hidden="1">
      <c r="A78" s="239" t="s">
        <v>606</v>
      </c>
      <c r="B78" s="239"/>
      <c r="C78" s="270"/>
      <c r="D78" s="266"/>
      <c r="E78" s="266"/>
      <c r="F78" s="266">
        <f t="shared" si="6"/>
        <v>0</v>
      </c>
      <c r="G78" s="266" t="e">
        <f>(E78/D78)*100</f>
        <v>#DIV/0!</v>
      </c>
    </row>
    <row r="79" spans="1:7">
      <c r="A79" s="236" t="s">
        <v>612</v>
      </c>
      <c r="B79" s="161"/>
      <c r="C79" s="270"/>
      <c r="D79" s="266">
        <v>3000</v>
      </c>
      <c r="E79" s="266"/>
      <c r="F79" s="266">
        <f t="shared" si="6"/>
        <v>-3000</v>
      </c>
      <c r="G79" s="266">
        <f t="shared" si="5"/>
        <v>0</v>
      </c>
    </row>
    <row r="80" spans="1:7" ht="71.400000000000006" customHeight="1">
      <c r="A80" s="11"/>
      <c r="D80" s="331"/>
      <c r="E80" s="165"/>
      <c r="F80" s="165"/>
      <c r="G80" s="165"/>
    </row>
    <row r="81" spans="1:7" ht="38.4" customHeight="1">
      <c r="A81" s="378" t="s">
        <v>554</v>
      </c>
      <c r="B81" s="248"/>
      <c r="C81" s="454"/>
      <c r="D81" s="454"/>
      <c r="E81" s="249"/>
      <c r="F81" s="455" t="s">
        <v>555</v>
      </c>
      <c r="G81" s="455"/>
    </row>
    <row r="82" spans="1:7" hidden="1">
      <c r="A82" s="171" t="s">
        <v>360</v>
      </c>
      <c r="B82" s="170"/>
      <c r="C82" s="444" t="s">
        <v>556</v>
      </c>
      <c r="D82" s="444"/>
      <c r="E82" s="170"/>
      <c r="F82" s="445" t="s">
        <v>76</v>
      </c>
      <c r="G82" s="445"/>
    </row>
    <row r="83" spans="1:7">
      <c r="A83" s="11"/>
      <c r="D83" s="331"/>
      <c r="E83" s="165"/>
      <c r="F83" s="165"/>
      <c r="G83" s="165"/>
    </row>
    <row r="84" spans="1:7">
      <c r="A84" s="11"/>
      <c r="D84" s="331"/>
      <c r="E84" s="165"/>
      <c r="F84" s="165"/>
      <c r="G84" s="165"/>
    </row>
    <row r="85" spans="1:7">
      <c r="A85" s="11"/>
    </row>
    <row r="86" spans="1:7">
      <c r="A86" s="181"/>
    </row>
    <row r="87" spans="1:7">
      <c r="A87" s="181"/>
    </row>
    <row r="88" spans="1:7">
      <c r="A88" s="181"/>
    </row>
    <row r="89" spans="1:7">
      <c r="A89" s="181"/>
    </row>
    <row r="90" spans="1:7">
      <c r="A90" s="181"/>
    </row>
    <row r="91" spans="1:7">
      <c r="A91" s="181"/>
    </row>
    <row r="92" spans="1:7">
      <c r="A92" s="181"/>
    </row>
    <row r="93" spans="1:7">
      <c r="A93" s="181"/>
    </row>
    <row r="94" spans="1:7">
      <c r="A94" s="181"/>
    </row>
    <row r="95" spans="1:7">
      <c r="A95" s="181"/>
    </row>
    <row r="96" spans="1:7">
      <c r="A96" s="181"/>
    </row>
    <row r="97" spans="1:1">
      <c r="A97" s="181"/>
    </row>
    <row r="98" spans="1:1">
      <c r="A98" s="181"/>
    </row>
    <row r="99" spans="1:1">
      <c r="A99" s="181"/>
    </row>
    <row r="100" spans="1:1">
      <c r="A100" s="181"/>
    </row>
    <row r="101" spans="1:1">
      <c r="A101" s="181"/>
    </row>
    <row r="102" spans="1:1">
      <c r="A102" s="181"/>
    </row>
    <row r="103" spans="1:1">
      <c r="A103" s="181"/>
    </row>
    <row r="104" spans="1:1">
      <c r="A104" s="181"/>
    </row>
    <row r="105" spans="1:1">
      <c r="A105" s="181"/>
    </row>
    <row r="106" spans="1:1">
      <c r="A106" s="181"/>
    </row>
    <row r="107" spans="1:1">
      <c r="A107" s="181"/>
    </row>
    <row r="108" spans="1:1">
      <c r="A108" s="181"/>
    </row>
    <row r="109" spans="1:1">
      <c r="A109" s="181"/>
    </row>
    <row r="110" spans="1:1">
      <c r="A110" s="181"/>
    </row>
    <row r="111" spans="1:1">
      <c r="A111" s="181"/>
    </row>
    <row r="112" spans="1:1">
      <c r="A112" s="181"/>
    </row>
    <row r="113" spans="1:1">
      <c r="A113" s="181"/>
    </row>
    <row r="114" spans="1:1">
      <c r="A114" s="181"/>
    </row>
    <row r="115" spans="1:1">
      <c r="A115" s="181"/>
    </row>
    <row r="116" spans="1:1">
      <c r="A116" s="181"/>
    </row>
    <row r="117" spans="1:1">
      <c r="A117" s="181"/>
    </row>
    <row r="118" spans="1:1">
      <c r="A118" s="181"/>
    </row>
    <row r="119" spans="1:1">
      <c r="A119" s="181"/>
    </row>
    <row r="120" spans="1:1">
      <c r="A120" s="181"/>
    </row>
    <row r="121" spans="1:1">
      <c r="A121" s="181"/>
    </row>
    <row r="122" spans="1:1">
      <c r="A122" s="181"/>
    </row>
    <row r="123" spans="1:1">
      <c r="A123" s="181"/>
    </row>
    <row r="124" spans="1:1">
      <c r="A124" s="181"/>
    </row>
    <row r="125" spans="1:1">
      <c r="A125" s="181"/>
    </row>
    <row r="126" spans="1:1">
      <c r="A126" s="181"/>
    </row>
    <row r="127" spans="1:1">
      <c r="A127" s="181"/>
    </row>
    <row r="128" spans="1:1">
      <c r="A128" s="181"/>
    </row>
    <row r="129" spans="1:1">
      <c r="A129" s="181"/>
    </row>
    <row r="130" spans="1:1">
      <c r="A130" s="181"/>
    </row>
    <row r="131" spans="1:1">
      <c r="A131" s="181"/>
    </row>
    <row r="132" spans="1:1">
      <c r="A132" s="181"/>
    </row>
    <row r="133" spans="1:1">
      <c r="A133" s="181"/>
    </row>
    <row r="134" spans="1:1">
      <c r="A134" s="181"/>
    </row>
    <row r="135" spans="1:1">
      <c r="A135" s="181"/>
    </row>
    <row r="136" spans="1:1">
      <c r="A136" s="181"/>
    </row>
    <row r="137" spans="1:1">
      <c r="A137" s="181"/>
    </row>
    <row r="138" spans="1:1">
      <c r="A138" s="181"/>
    </row>
    <row r="139" spans="1:1">
      <c r="A139" s="181"/>
    </row>
    <row r="140" spans="1:1">
      <c r="A140" s="181"/>
    </row>
    <row r="141" spans="1:1">
      <c r="A141" s="181"/>
    </row>
    <row r="142" spans="1:1">
      <c r="A142" s="181"/>
    </row>
    <row r="143" spans="1:1">
      <c r="A143" s="181"/>
    </row>
    <row r="144" spans="1:1">
      <c r="A144" s="181"/>
    </row>
    <row r="145" spans="1:1">
      <c r="A145" s="181"/>
    </row>
    <row r="146" spans="1:1">
      <c r="A146" s="181"/>
    </row>
    <row r="147" spans="1:1">
      <c r="A147" s="181"/>
    </row>
    <row r="148" spans="1:1">
      <c r="A148" s="181"/>
    </row>
    <row r="149" spans="1:1">
      <c r="A149" s="181"/>
    </row>
    <row r="150" spans="1:1">
      <c r="A150" s="181"/>
    </row>
    <row r="151" spans="1:1">
      <c r="A151" s="181"/>
    </row>
    <row r="152" spans="1:1">
      <c r="A152" s="181"/>
    </row>
    <row r="153" spans="1:1">
      <c r="A153" s="181"/>
    </row>
    <row r="154" spans="1:1">
      <c r="A154" s="181"/>
    </row>
    <row r="155" spans="1:1">
      <c r="A155" s="181"/>
    </row>
    <row r="156" spans="1:1">
      <c r="A156" s="181"/>
    </row>
    <row r="157" spans="1:1">
      <c r="A157" s="181"/>
    </row>
    <row r="158" spans="1:1">
      <c r="A158" s="181"/>
    </row>
    <row r="159" spans="1:1">
      <c r="A159" s="181"/>
    </row>
    <row r="160" spans="1:1">
      <c r="A160" s="181"/>
    </row>
    <row r="161" spans="1:1">
      <c r="A161" s="181"/>
    </row>
    <row r="162" spans="1:1">
      <c r="A162" s="181"/>
    </row>
    <row r="163" spans="1:1">
      <c r="A163" s="181"/>
    </row>
    <row r="164" spans="1:1">
      <c r="A164" s="181"/>
    </row>
    <row r="165" spans="1:1">
      <c r="A165" s="181"/>
    </row>
    <row r="166" spans="1:1">
      <c r="A166" s="181"/>
    </row>
    <row r="167" spans="1:1">
      <c r="A167" s="181"/>
    </row>
    <row r="168" spans="1:1">
      <c r="A168" s="181"/>
    </row>
    <row r="169" spans="1:1">
      <c r="A169" s="181"/>
    </row>
    <row r="170" spans="1:1">
      <c r="A170" s="181"/>
    </row>
    <row r="171" spans="1:1">
      <c r="A171" s="181"/>
    </row>
    <row r="172" spans="1:1">
      <c r="A172" s="181"/>
    </row>
    <row r="173" spans="1:1">
      <c r="A173" s="181"/>
    </row>
    <row r="174" spans="1:1">
      <c r="A174" s="181"/>
    </row>
    <row r="175" spans="1:1">
      <c r="A175" s="181"/>
    </row>
    <row r="176" spans="1:1">
      <c r="A176" s="181"/>
    </row>
    <row r="177" spans="1:1">
      <c r="A177" s="181"/>
    </row>
    <row r="178" spans="1:1">
      <c r="A178" s="181"/>
    </row>
    <row r="179" spans="1:1">
      <c r="A179" s="181"/>
    </row>
    <row r="180" spans="1:1">
      <c r="A180" s="181"/>
    </row>
    <row r="181" spans="1:1">
      <c r="A181" s="181"/>
    </row>
    <row r="182" spans="1:1">
      <c r="A182" s="181"/>
    </row>
    <row r="183" spans="1:1">
      <c r="A183" s="181"/>
    </row>
    <row r="184" spans="1:1">
      <c r="A184" s="181"/>
    </row>
    <row r="185" spans="1:1">
      <c r="A185" s="181"/>
    </row>
    <row r="186" spans="1:1">
      <c r="A186" s="181"/>
    </row>
    <row r="187" spans="1:1">
      <c r="A187" s="181"/>
    </row>
    <row r="188" spans="1:1">
      <c r="A188" s="181"/>
    </row>
    <row r="189" spans="1:1">
      <c r="A189" s="181"/>
    </row>
    <row r="190" spans="1:1">
      <c r="A190" s="181"/>
    </row>
    <row r="191" spans="1:1">
      <c r="A191" s="181"/>
    </row>
    <row r="192" spans="1:1">
      <c r="A192" s="181"/>
    </row>
    <row r="193" spans="1:1">
      <c r="A193" s="181"/>
    </row>
    <row r="194" spans="1:1">
      <c r="A194" s="181"/>
    </row>
    <row r="195" spans="1:1">
      <c r="A195" s="181"/>
    </row>
    <row r="196" spans="1:1">
      <c r="A196" s="181"/>
    </row>
    <row r="197" spans="1:1">
      <c r="A197" s="181"/>
    </row>
    <row r="198" spans="1:1">
      <c r="A198" s="181"/>
    </row>
    <row r="199" spans="1:1">
      <c r="A199" s="181"/>
    </row>
    <row r="200" spans="1:1">
      <c r="A200" s="181"/>
    </row>
    <row r="201" spans="1:1">
      <c r="A201" s="181"/>
    </row>
    <row r="202" spans="1:1">
      <c r="A202" s="181"/>
    </row>
    <row r="203" spans="1:1">
      <c r="A203" s="181"/>
    </row>
    <row r="204" spans="1:1">
      <c r="A204" s="181"/>
    </row>
    <row r="205" spans="1:1">
      <c r="A205" s="181"/>
    </row>
    <row r="206" spans="1:1">
      <c r="A206" s="181"/>
    </row>
    <row r="207" spans="1:1">
      <c r="A207" s="181"/>
    </row>
    <row r="208" spans="1:1">
      <c r="A208" s="181"/>
    </row>
    <row r="209" spans="1:1">
      <c r="A209" s="181"/>
    </row>
    <row r="210" spans="1:1">
      <c r="A210" s="181"/>
    </row>
    <row r="211" spans="1:1">
      <c r="A211" s="181"/>
    </row>
    <row r="212" spans="1:1">
      <c r="A212" s="181"/>
    </row>
    <row r="213" spans="1:1">
      <c r="A213" s="181"/>
    </row>
    <row r="214" spans="1:1">
      <c r="A214" s="181"/>
    </row>
    <row r="215" spans="1:1">
      <c r="A215" s="181"/>
    </row>
    <row r="216" spans="1:1">
      <c r="A216" s="181"/>
    </row>
    <row r="217" spans="1:1">
      <c r="A217" s="181"/>
    </row>
    <row r="218" spans="1:1">
      <c r="A218" s="181"/>
    </row>
    <row r="219" spans="1:1">
      <c r="A219" s="181"/>
    </row>
    <row r="220" spans="1:1">
      <c r="A220" s="181"/>
    </row>
    <row r="221" spans="1:1">
      <c r="A221" s="181"/>
    </row>
    <row r="222" spans="1:1">
      <c r="A222" s="181"/>
    </row>
    <row r="223" spans="1:1">
      <c r="A223" s="181"/>
    </row>
    <row r="224" spans="1:1">
      <c r="A224" s="181"/>
    </row>
    <row r="225" spans="1:1">
      <c r="A225" s="181"/>
    </row>
    <row r="226" spans="1:1">
      <c r="A226" s="181"/>
    </row>
    <row r="227" spans="1:1">
      <c r="A227" s="181"/>
    </row>
    <row r="228" spans="1:1">
      <c r="A228" s="181"/>
    </row>
    <row r="229" spans="1:1">
      <c r="A229" s="181"/>
    </row>
    <row r="230" spans="1:1">
      <c r="A230" s="181"/>
    </row>
    <row r="231" spans="1:1">
      <c r="A231" s="181"/>
    </row>
    <row r="232" spans="1:1">
      <c r="A232" s="181"/>
    </row>
    <row r="233" spans="1:1">
      <c r="A233" s="181"/>
    </row>
    <row r="234" spans="1:1">
      <c r="A234" s="181"/>
    </row>
    <row r="235" spans="1:1">
      <c r="A235" s="181"/>
    </row>
    <row r="236" spans="1:1">
      <c r="A236" s="181"/>
    </row>
    <row r="237" spans="1:1">
      <c r="A237" s="181"/>
    </row>
    <row r="238" spans="1:1">
      <c r="A238" s="181"/>
    </row>
    <row r="239" spans="1:1">
      <c r="A239" s="181"/>
    </row>
    <row r="240" spans="1:1">
      <c r="A240" s="181"/>
    </row>
    <row r="241" spans="1:1">
      <c r="A241" s="181"/>
    </row>
    <row r="242" spans="1:1">
      <c r="A242" s="181"/>
    </row>
    <row r="243" spans="1:1">
      <c r="A243" s="181"/>
    </row>
    <row r="244" spans="1:1">
      <c r="A244" s="181"/>
    </row>
    <row r="245" spans="1:1">
      <c r="A245" s="181"/>
    </row>
    <row r="246" spans="1:1">
      <c r="A246" s="181"/>
    </row>
    <row r="247" spans="1:1">
      <c r="A247" s="181"/>
    </row>
    <row r="248" spans="1:1">
      <c r="A248" s="181"/>
    </row>
    <row r="249" spans="1:1">
      <c r="A249" s="181"/>
    </row>
    <row r="250" spans="1:1">
      <c r="A250" s="181"/>
    </row>
    <row r="251" spans="1:1">
      <c r="A251" s="181"/>
    </row>
    <row r="252" spans="1:1">
      <c r="A252" s="181"/>
    </row>
  </sheetData>
  <sortState ref="A60:G67">
    <sortCondition ref="A60"/>
  </sortState>
  <mergeCells count="5">
    <mergeCell ref="C81:D81"/>
    <mergeCell ref="F81:G81"/>
    <mergeCell ref="C82:D82"/>
    <mergeCell ref="F82:G82"/>
    <mergeCell ref="A2:G2"/>
  </mergeCells>
  <pageMargins left="0.59055118110236227" right="0.59055118110236227" top="0.98425196850393704" bottom="0.59055118110236227" header="0.31496062992125984" footer="0.19685039370078741"/>
  <pageSetup paperSize="9" scale="76" fitToHeight="0" orientation="landscape" blackAndWhite="1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4"/>
  <sheetViews>
    <sheetView view="pageBreakPreview" zoomScale="65" zoomScaleNormal="75" zoomScaleSheetLayoutView="65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G33" sqref="G33"/>
    </sheetView>
  </sheetViews>
  <sheetFormatPr defaultColWidth="9.109375" defaultRowHeight="13.2"/>
  <cols>
    <col min="1" max="1" width="95" style="2" customWidth="1"/>
    <col min="2" max="2" width="19.44140625" style="2" customWidth="1"/>
    <col min="3" max="7" width="26" style="2" customWidth="1"/>
    <col min="8" max="8" width="71" style="2" customWidth="1"/>
    <col min="9" max="9" width="9.5546875" style="2" customWidth="1"/>
    <col min="10" max="10" width="9.109375" style="2" customWidth="1"/>
    <col min="11" max="11" width="27.109375" style="2" customWidth="1"/>
    <col min="12" max="16384" width="9.109375" style="2"/>
  </cols>
  <sheetData>
    <row r="1" spans="1:8" ht="24.75" customHeight="1">
      <c r="A1" s="74"/>
      <c r="B1" s="74"/>
      <c r="C1" s="74"/>
      <c r="D1" s="74"/>
      <c r="E1" s="74"/>
      <c r="F1" s="74"/>
      <c r="G1" s="74"/>
      <c r="H1" s="59" t="s">
        <v>346</v>
      </c>
    </row>
    <row r="2" spans="1:8" ht="41.25" customHeight="1">
      <c r="A2" s="520" t="s">
        <v>127</v>
      </c>
      <c r="B2" s="520"/>
      <c r="C2" s="520"/>
      <c r="D2" s="520"/>
      <c r="E2" s="520"/>
      <c r="F2" s="520"/>
      <c r="G2" s="520"/>
      <c r="H2" s="520"/>
    </row>
    <row r="3" spans="1:8" ht="49.5" customHeight="1">
      <c r="A3" s="521" t="s">
        <v>153</v>
      </c>
      <c r="B3" s="521" t="s">
        <v>0</v>
      </c>
      <c r="C3" s="521" t="s">
        <v>75</v>
      </c>
      <c r="D3" s="523" t="s">
        <v>382</v>
      </c>
      <c r="E3" s="523"/>
      <c r="F3" s="523" t="s">
        <v>427</v>
      </c>
      <c r="G3" s="523"/>
      <c r="H3" s="521" t="s">
        <v>170</v>
      </c>
    </row>
    <row r="4" spans="1:8" ht="63" customHeight="1">
      <c r="A4" s="522"/>
      <c r="B4" s="522"/>
      <c r="C4" s="522"/>
      <c r="D4" s="1" t="s">
        <v>450</v>
      </c>
      <c r="E4" s="1" t="s">
        <v>451</v>
      </c>
      <c r="F4" s="1" t="s">
        <v>139</v>
      </c>
      <c r="G4" s="1" t="s">
        <v>140</v>
      </c>
      <c r="H4" s="522"/>
    </row>
    <row r="5" spans="1:8" s="3" customFormat="1" ht="29.25" customHeight="1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s="3" customFormat="1" ht="36" customHeight="1">
      <c r="A6" s="75" t="s">
        <v>114</v>
      </c>
      <c r="B6" s="15"/>
      <c r="C6" s="14"/>
      <c r="D6" s="14"/>
      <c r="E6" s="14"/>
      <c r="F6" s="14"/>
      <c r="G6" s="14"/>
      <c r="H6" s="14"/>
    </row>
    <row r="7" spans="1:8" ht="69.75" customHeight="1">
      <c r="A7" s="7" t="s">
        <v>320</v>
      </c>
      <c r="B7" s="9">
        <v>5000</v>
      </c>
      <c r="C7" s="16" t="s">
        <v>177</v>
      </c>
      <c r="D7" s="128">
        <f>('Осн. фін. пок.'!C27/'Осн. фін. пок.'!C25)*100</f>
        <v>-262.91052742303702</v>
      </c>
      <c r="E7" s="128">
        <f>('Осн. фін. пок.'!D27/'Осн. фін. пок.'!D25)*100</f>
        <v>-201.32742178171159</v>
      </c>
      <c r="F7" s="128">
        <f>('Осн. фін. пок.'!E27/'Осн. фін. пок.'!E25)*100</f>
        <v>-191.11484074365987</v>
      </c>
      <c r="G7" s="128">
        <f>('Осн. фін. пок.'!F27/'Осн. фін. пок.'!F25)*100</f>
        <v>-201.32742178171159</v>
      </c>
      <c r="H7" s="17"/>
    </row>
    <row r="8" spans="1:8" ht="69" customHeight="1">
      <c r="A8" s="7" t="s">
        <v>321</v>
      </c>
      <c r="B8" s="9">
        <v>5010</v>
      </c>
      <c r="C8" s="16" t="s">
        <v>177</v>
      </c>
      <c r="D8" s="128">
        <f>('Осн. фін. пок.'!C33/'Осн. фін. пок.'!C25)*100</f>
        <v>3.3582409362557506</v>
      </c>
      <c r="E8" s="128">
        <f>('Осн. фін. пок.'!D33/'Осн. фін. пок.'!D25)*100</f>
        <v>5.7980326955926369</v>
      </c>
      <c r="F8" s="128">
        <f>('Осн. фін. пок.'!E33/'Осн. фін. пок.'!E25)*100</f>
        <v>8.6424034493949655</v>
      </c>
      <c r="G8" s="128">
        <f>('Осн. фін. пок.'!F33/'Осн. фін. пок.'!F25)*100</f>
        <v>5.7980326955926369</v>
      </c>
      <c r="H8" s="17"/>
    </row>
    <row r="9" spans="1:8" ht="49.5" customHeight="1">
      <c r="A9" s="17" t="s">
        <v>322</v>
      </c>
      <c r="B9" s="9">
        <v>5020</v>
      </c>
      <c r="C9" s="16" t="s">
        <v>177</v>
      </c>
      <c r="D9" s="128">
        <f>('Осн. фін. пок.'!C46/'Осн. фін. пок.'!C99)*100</f>
        <v>-5.6253142427120357</v>
      </c>
      <c r="E9" s="128">
        <f>('Осн. фін. пок.'!D46/'Осн. фін. пок.'!D99)*100</f>
        <v>-3.5066909095764425</v>
      </c>
      <c r="F9" s="128">
        <f>('Осн. фін. пок.'!E46/'Осн. фін. пок.'!E99)*100</f>
        <v>0</v>
      </c>
      <c r="G9" s="128">
        <f>('Осн. фін. пок.'!F46/'Осн. фін. пок.'!F99)*100</f>
        <v>-3.5066909095764425</v>
      </c>
      <c r="H9" s="17" t="s">
        <v>178</v>
      </c>
    </row>
    <row r="10" spans="1:8" ht="47.25" customHeight="1">
      <c r="A10" s="17" t="s">
        <v>383</v>
      </c>
      <c r="B10" s="9">
        <v>5030</v>
      </c>
      <c r="C10" s="16" t="s">
        <v>177</v>
      </c>
      <c r="D10" s="128">
        <f>('Осн. фін. пок.'!C46/'Осн. фін. пок.'!C100)*100</f>
        <v>-7.233375448441393</v>
      </c>
      <c r="E10" s="128">
        <f>('Осн. фін. пок.'!D46/'Осн. фін. пок.'!D100)*100</f>
        <v>-5.4214836223506344</v>
      </c>
      <c r="F10" s="128">
        <f>('Осн. фін. пок.'!E46/'Осн. фін. пок.'!E100)*100</f>
        <v>0</v>
      </c>
      <c r="G10" s="128">
        <f>('Осн. фін. пок.'!F46/'Осн. фін. пок.'!F100)*100</f>
        <v>-5.4214836223506344</v>
      </c>
      <c r="H10" s="17"/>
    </row>
    <row r="11" spans="1:8" ht="64.5" customHeight="1">
      <c r="A11" s="17" t="s">
        <v>323</v>
      </c>
      <c r="B11" s="9">
        <v>5040</v>
      </c>
      <c r="C11" s="16" t="s">
        <v>177</v>
      </c>
      <c r="D11" s="128">
        <f>('Осн. фін. пок.'!C46/'Осн. фін. пок.'!C25)*100</f>
        <v>-13.337904488822753</v>
      </c>
      <c r="E11" s="128">
        <f>('Осн. фін. пок.'!D46/'Осн. фін. пок.'!D25)*100</f>
        <v>-8.4373477266763501</v>
      </c>
      <c r="F11" s="128">
        <f>('Осн. фін. пок.'!E46/'Осн. фін. пок.'!E25)*100</f>
        <v>0</v>
      </c>
      <c r="G11" s="128">
        <f>('Осн. фін. пок.'!F46/'Осн. фін. пок.'!F25)*100</f>
        <v>-8.4373477266763501</v>
      </c>
      <c r="H11" s="17" t="s">
        <v>179</v>
      </c>
    </row>
    <row r="12" spans="1:8" ht="42" customHeight="1">
      <c r="A12" s="75" t="s">
        <v>116</v>
      </c>
      <c r="B12" s="9"/>
      <c r="C12" s="18"/>
      <c r="D12" s="128"/>
      <c r="E12" s="128"/>
      <c r="F12" s="128"/>
      <c r="G12" s="128"/>
      <c r="H12" s="17"/>
    </row>
    <row r="13" spans="1:8" ht="70.5" customHeight="1">
      <c r="A13" s="17" t="s">
        <v>384</v>
      </c>
      <c r="B13" s="9">
        <v>5100</v>
      </c>
      <c r="C13" s="16"/>
      <c r="D13" s="128">
        <f>('Осн. фін. пок.'!C101+'Осн. фін. пок.'!C102)/'Осн. фін. пок.'!C33</f>
        <v>15.696055684454782</v>
      </c>
      <c r="E13" s="128">
        <f>('Осн. фін. пок.'!D101+'Осн. фін. пок.'!D102)/'Осн. фін. пок.'!D33</f>
        <v>14.656538603620087</v>
      </c>
      <c r="F13" s="128">
        <f>('Осн. фін. пок.'!E101+'Осн. фін. пок.'!E102)/'Осн. фін. пок.'!E33</f>
        <v>6.1363460795674003</v>
      </c>
      <c r="G13" s="128">
        <f>('Осн. фін. пок.'!F101+'Осн. фін. пок.'!F102)/'Осн. фін. пок.'!F33</f>
        <v>14.656538603620087</v>
      </c>
      <c r="H13" s="17"/>
    </row>
    <row r="14" spans="1:8" s="3" customFormat="1" ht="64.5" customHeight="1">
      <c r="A14" s="17" t="s">
        <v>385</v>
      </c>
      <c r="B14" s="9">
        <v>5110</v>
      </c>
      <c r="C14" s="16" t="s">
        <v>111</v>
      </c>
      <c r="D14" s="128">
        <f>'Осн. фін. пок.'!C100/('Осн. фін. пок.'!C101+'Осн. фін. пок.'!C102)</f>
        <v>3.4981966001478195</v>
      </c>
      <c r="E14" s="128">
        <f>'Осн. фін. пок.'!D100/('Осн. фін. пок.'!D101+'Осн. фін. пок.'!D102)</f>
        <v>1.8313684223791911</v>
      </c>
      <c r="F14" s="128">
        <f>'Осн. фін. пок.'!E100/('Осн. фін. пок.'!E101+'Осн. фін. пок.'!E102)</f>
        <v>2.2861249239420069</v>
      </c>
      <c r="G14" s="128">
        <f>'Осн. фін. пок.'!F100/('Осн. фін. пок.'!F101+'Осн. фін. пок.'!F102)</f>
        <v>1.8313684223791911</v>
      </c>
      <c r="H14" s="17" t="s">
        <v>180</v>
      </c>
    </row>
    <row r="15" spans="1:8" s="3" customFormat="1" ht="60" customHeight="1">
      <c r="A15" s="17" t="s">
        <v>386</v>
      </c>
      <c r="B15" s="9">
        <v>5120</v>
      </c>
      <c r="C15" s="16" t="s">
        <v>111</v>
      </c>
      <c r="D15" s="128">
        <f>'Осн. фін. пок.'!C97/'Осн. фін. пок.'!C102</f>
        <v>0.47909830007390986</v>
      </c>
      <c r="E15" s="128">
        <f>'Осн. фін. пок.'!D97/'Осн. фін. пок.'!D102</f>
        <v>0.38342230154220452</v>
      </c>
      <c r="F15" s="128">
        <f>'Осн. фін. пок.'!E97/'Осн. фін. пок.'!E102</f>
        <v>0.28730688263639731</v>
      </c>
      <c r="G15" s="128">
        <f>'Осн. фін. пок.'!F97/'Осн. фін. пок.'!F102</f>
        <v>0.38342230154220452</v>
      </c>
      <c r="H15" s="17" t="s">
        <v>182</v>
      </c>
    </row>
    <row r="16" spans="1:8" ht="33.75" customHeight="1">
      <c r="A16" s="75" t="s">
        <v>115</v>
      </c>
      <c r="B16" s="9"/>
      <c r="C16" s="16"/>
      <c r="D16" s="128"/>
      <c r="E16" s="128"/>
      <c r="F16" s="128"/>
      <c r="G16" s="128"/>
      <c r="H16" s="17"/>
    </row>
    <row r="17" spans="1:11" ht="49.5" customHeight="1">
      <c r="A17" s="17" t="s">
        <v>308</v>
      </c>
      <c r="B17" s="9">
        <v>5200</v>
      </c>
      <c r="C17" s="16"/>
      <c r="D17" s="128">
        <f>'Осн. фін. пок.'!C74/'Осн. фін. пок.'!C56</f>
        <v>1.3941064714031268</v>
      </c>
      <c r="E17" s="128">
        <f>'Осн. фін. пок.'!D74/'Осн. фін. пок.'!D56</f>
        <v>5.5722570857182268</v>
      </c>
      <c r="F17" s="128">
        <f>'Осн. фін. пок.'!E74/'Осн. фін. пок.'!E56</f>
        <v>3.5184375374057377</v>
      </c>
      <c r="G17" s="128">
        <f>'Осн. фін. пок.'!F74/'Осн. фін. пок.'!F56</f>
        <v>5.5722570857182268</v>
      </c>
      <c r="H17" s="17"/>
    </row>
    <row r="18" spans="1:11" ht="92.25" customHeight="1">
      <c r="A18" s="17" t="s">
        <v>309</v>
      </c>
      <c r="B18" s="9">
        <v>5210</v>
      </c>
      <c r="C18" s="16"/>
      <c r="D18" s="128">
        <f>'Осн. фін. пок.'!C74/'Осн. фін. пок.'!C25</f>
        <v>0.27444152686982337</v>
      </c>
      <c r="E18" s="128">
        <f>'Осн. фін. пок.'!D74/'Осн. фін. пок.'!D25</f>
        <v>0.8653494187509706</v>
      </c>
      <c r="F18" s="128">
        <f>'Осн. фін. пок.'!E74/'Осн. фін. пок.'!E25</f>
        <v>0.32707163058092636</v>
      </c>
      <c r="G18" s="128">
        <f>'Осн. фін. пок.'!F74/'Осн. фін. пок.'!F25</f>
        <v>0.8653494187509706</v>
      </c>
      <c r="H18" s="17"/>
    </row>
    <row r="19" spans="1:11" ht="57" customHeight="1">
      <c r="A19" s="17" t="s">
        <v>310</v>
      </c>
      <c r="B19" s="9">
        <v>5220</v>
      </c>
      <c r="C19" s="16" t="s">
        <v>266</v>
      </c>
      <c r="D19" s="128">
        <f>'Осн. фін. пок.'!C96/'Осн. фін. пок.'!C95</f>
        <v>0.41212361602836256</v>
      </c>
      <c r="E19" s="128">
        <f>'Осн. фін. пок.'!D96/'Осн. фін. пок.'!D95</f>
        <v>0.33297209381955145</v>
      </c>
      <c r="F19" s="128">
        <f>'Осн. фін. пок.'!E96/'Осн. фін. пок.'!E95</f>
        <v>0.28892688712509018</v>
      </c>
      <c r="G19" s="128">
        <f>'Осн. фін. пок.'!F96/'Осн. фін. пок.'!F95</f>
        <v>0.33297209381955145</v>
      </c>
      <c r="H19" s="17" t="s">
        <v>181</v>
      </c>
    </row>
    <row r="20" spans="1:11" ht="44.25" customHeight="1">
      <c r="A20" s="75" t="s">
        <v>173</v>
      </c>
      <c r="B20" s="9"/>
      <c r="C20" s="16"/>
      <c r="D20" s="128"/>
      <c r="E20" s="128"/>
      <c r="F20" s="128"/>
      <c r="G20" s="128"/>
      <c r="H20" s="17"/>
    </row>
    <row r="21" spans="1:11" ht="66.75" customHeight="1">
      <c r="A21" s="17" t="s">
        <v>184</v>
      </c>
      <c r="B21" s="9">
        <v>5300</v>
      </c>
      <c r="C21" s="16"/>
      <c r="D21" s="128"/>
      <c r="E21" s="128"/>
      <c r="F21" s="128"/>
      <c r="G21" s="128"/>
      <c r="H21" s="19"/>
    </row>
    <row r="22" spans="1:11" ht="20.399999999999999">
      <c r="A22" s="20"/>
      <c r="B22" s="20"/>
      <c r="C22" s="20"/>
      <c r="D22" s="20"/>
      <c r="E22" s="20"/>
      <c r="F22" s="20"/>
      <c r="G22" s="20"/>
      <c r="H22" s="20"/>
      <c r="K22" s="4"/>
    </row>
    <row r="23" spans="1:11" s="170" customFormat="1" ht="38.4" customHeight="1">
      <c r="A23" s="378" t="s">
        <v>554</v>
      </c>
      <c r="B23" s="248"/>
      <c r="C23" s="454"/>
      <c r="D23" s="454"/>
      <c r="E23" s="249"/>
      <c r="F23" s="455" t="s">
        <v>555</v>
      </c>
      <c r="G23" s="455"/>
    </row>
    <row r="24" spans="1:11" s="206" customFormat="1" ht="15.6" hidden="1">
      <c r="A24" s="204" t="s">
        <v>64</v>
      </c>
      <c r="B24" s="205"/>
      <c r="C24" s="518" t="s">
        <v>65</v>
      </c>
      <c r="D24" s="518"/>
      <c r="E24" s="205"/>
      <c r="F24" s="519" t="s">
        <v>76</v>
      </c>
      <c r="G24" s="519"/>
      <c r="H24" s="519"/>
    </row>
  </sheetData>
  <mergeCells count="11">
    <mergeCell ref="C23:D23"/>
    <mergeCell ref="C24:D24"/>
    <mergeCell ref="F24:H24"/>
    <mergeCell ref="A2:H2"/>
    <mergeCell ref="A3:A4"/>
    <mergeCell ref="B3:B4"/>
    <mergeCell ref="C3:C4"/>
    <mergeCell ref="D3:E3"/>
    <mergeCell ref="F3:G3"/>
    <mergeCell ref="H3:H4"/>
    <mergeCell ref="F23:G23"/>
  </mergeCells>
  <phoneticPr fontId="3" type="noConversion"/>
  <pageMargins left="0.39370078740157483" right="0.19685039370078741" top="0.19685039370078741" bottom="0.19685039370078741" header="0.19685039370078741" footer="0.31496062992125984"/>
  <pageSetup paperSize="9" scale="45" orientation="landscape" r:id="rId1"/>
  <headerFooter alignWithMargins="0"/>
  <ignoredErrors>
    <ignoredError sqref="D7 D19:G19 D9 D11 D13 D15:G15 D8 D18:E18 F18 D17 G1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21</vt:i4>
      </vt:variant>
    </vt:vector>
  </HeadingPairs>
  <TitlesOfParts>
    <vt:vector size="34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Драчук Ира</cp:lastModifiedBy>
  <cp:lastPrinted>2025-01-31T06:36:30Z</cp:lastPrinted>
  <dcterms:created xsi:type="dcterms:W3CDTF">2003-03-13T16:00:22Z</dcterms:created>
  <dcterms:modified xsi:type="dcterms:W3CDTF">2025-01-31T06:39:56Z</dcterms:modified>
</cp:coreProperties>
</file>